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mai\"/>
    </mc:Choice>
  </mc:AlternateContent>
  <bookViews>
    <workbookView xWindow="0" yWindow="0" windowWidth="20490" windowHeight="7050" tabRatio="568" firstSheet="2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" sheetId="5" r:id="rId4"/>
    <sheet name="Cotations oleoproteagineux" sheetId="6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'GC_EstimProduction2022-2023'!$A$36:$P$36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O59" i="7" l="1"/>
  <c r="O52" i="7"/>
  <c r="O58" i="7"/>
  <c r="O57" i="7"/>
  <c r="O56" i="7"/>
  <c r="O55" i="7"/>
  <c r="O54" i="7"/>
  <c r="N59" i="7"/>
  <c r="X14" i="7"/>
  <c r="Y11" i="7"/>
  <c r="Y12" i="7"/>
  <c r="T46" i="8" l="1"/>
  <c r="T40" i="8" s="1"/>
  <c r="T38" i="8"/>
  <c r="T34" i="8"/>
  <c r="T32" i="8"/>
  <c r="T30" i="8"/>
  <c r="T28" i="8"/>
  <c r="T44" i="8" l="1"/>
  <c r="T42" i="8"/>
  <c r="T36" i="8"/>
  <c r="T26" i="8"/>
  <c r="T24" i="8"/>
  <c r="T22" i="8"/>
  <c r="T20" i="8"/>
  <c r="T18" i="8"/>
  <c r="T16" i="8"/>
  <c r="T14" i="8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<sst xmlns="http://schemas.openxmlformats.org/spreadsheetml/2006/main" count="249" uniqueCount="157">
  <si>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</si>
  <si>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</si>
  <si>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</si>
  <si>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</si>
  <si>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</si>
  <si>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</si>
  <si>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</si>
  <si>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</si>
  <si>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</si>
  <si>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</si>
  <si>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</si>
  <si>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</si>
  <si>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</si>
  <si>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</si>
  <si>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</si>
  <si>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</si>
  <si>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</si>
  <si>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</si>
  <si>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</si>
  <si>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</si>
  <si>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</si>
  <si>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</si>
  <si>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</si>
  <si>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</si>
  <si>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</si>
  <si>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</si>
  <si>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</si>
  <si>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</si>
  <si>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</si>
  <si>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</si>
  <si>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</si>
  <si>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</si>
  <si>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</si>
  <si>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</si>
  <si>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</si>
  <si>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</si>
  <si>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</si>
  <si>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</si>
  <si>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</si>
  <si>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</si>
  <si>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</si>
  <si>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</si>
  <si>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</si>
  <si>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</si>
  <si>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</si>
  <si>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</si>
  <si>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</si>
  <si>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</si>
  <si>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</si>
  <si>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</si>
  <si>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</si>
  <si>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</si>
  <si>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</si>
  <si>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</si>
  <si>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</si>
  <si>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</si>
  <si>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</si>
  <si>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</si>
  <si>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</si>
  <si>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</si>
  <si>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</si>
  <si>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</si>
  <si>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</si>
  <si>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</si>
  <si>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</si>
  <si>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</si>
  <si>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</si>
  <si>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</si>
  <si>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Unités : ha, %</t>
  </si>
  <si>
    <t>Données provisoires 2022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</si>
  <si>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</si>
  <si>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</si>
  <si>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</si>
  <si>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</si>
  <si>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</si>
  <si>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</si>
  <si>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</si>
  <si>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</si>
  <si>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</si>
  <si>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</si>
  <si>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</si>
  <si>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</si>
  <si>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</si>
  <si>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</si>
  <si>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</si>
  <si>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</si>
  <si>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</si>
  <si>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(2) : Évolutions des surfaces en %  calculées par comparaison aux estimations surfaces 2022 provisoires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</si>
  <si>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</si>
  <si>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</si>
  <si>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</si>
  <si>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</si>
  <si>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</si>
  <si>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</si>
  <si>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</si>
  <si>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</si>
  <si>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</si>
  <si>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</si>
  <si>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</si>
  <si>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</si>
  <si>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</si>
  <si>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</si>
  <si>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</si>
  <si>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</si>
  <si>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</si>
  <si>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</si>
  <si>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</si>
  <si>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</si>
  <si>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</si>
  <si>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</si>
  <si>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</si>
  <si>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</si>
  <si>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</si>
  <si>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</si>
  <si>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</si>
  <si>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</si>
  <si>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</si>
  <si>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</si>
  <si>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</si>
  <si>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</si>
  <si>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</si>
  <si>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</si>
  <si>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</si>
  <si>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</si>
  <si>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</si>
  <si>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</si>
  <si>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</si>
  <si>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</si>
  <si>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</si>
  <si>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</si>
  <si>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rPr>
        <b/>
        <sz val="9"/>
        <rFont val="Arial"/>
        <family val="2"/>
      </rPr>
      <t xml:space="preserve">Cultures </t>
    </r>
    <r>
      <rPr>
        <sz val="9"/>
        <rFont val="Arial"/>
        <family val="2"/>
      </rPr>
      <t>(1)</t>
    </r>
  </si>
  <si>
    <t xml:space="preserve">OCCITANIE 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</si>
  <si>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lé tendre </t>
    </r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</si>
  <si>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lé dur 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</si>
  <si>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eigle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</si>
  <si>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d'hiver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</si>
  <si>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de printemps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</si>
  <si>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voine 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</si>
  <si>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riticale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</si>
  <si>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irrigué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</si>
  <si>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en sec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</si>
  <si>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semence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</si>
  <si>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orgho grain</t>
    </r>
  </si>
  <si>
    <r>
      <rPr>
        <b/>
        <sz val="9"/>
        <rFont val="Arial"/>
        <family val="2"/>
      </rPr>
      <t xml:space="preserve"> C</t>
    </r>
    <r>
      <rPr>
        <sz val="9"/>
        <rFont val="Arial"/>
        <family val="2"/>
      </rPr>
      <t>olza (et navette)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</si>
  <si>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ournesol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</si>
  <si>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oja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</si>
  <si>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>éveroles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</si>
  <si>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>ois  protéagineux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</si>
  <si>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fourrage et ensilage</t>
    </r>
  </si>
  <si>
    <t>(2) : Evolutions des surfaces en %  calculées par comparaison aux données de la SAA 2015 définitive</t>
  </si>
  <si>
    <t>Unités : ha</t>
  </si>
  <si>
    <r>
      <rPr>
        <b/>
        <sz val="9"/>
        <rFont val="Arial"/>
        <family val="2"/>
      </rPr>
      <t xml:space="preserve">Evolution par rapport à la campagne précédente </t>
    </r>
    <r>
      <rPr>
        <sz val="9"/>
        <rFont val="Arial"/>
        <family val="2"/>
      </rPr>
      <t>(2)</t>
    </r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</si>
  <si>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</si>
  <si>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</si>
  <si>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</si>
  <si>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</si>
  <si>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juin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</si>
</sst>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</numFmts>
  <fonts count="75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>
      <protection locked="0"/>
    </xf>
    <xf numFmtId="9" fontId="35" fillId="0" borderId="0" applyFill="0" applyBorder="0" applyAlignment="0" applyProtection="0"/>
    <xf numFmtId="0" fontId="35" fillId="0" borderId="0"/>
    <xf numFmtId="0" fontId="1" fillId="0" borderId="0" applyBorder="0">
      <protection locked="0"/>
    </xf>
    <xf numFmtId="9" fontId="59" fillId="0" borderId="0" applyFon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2" fillId="16" borderId="45" applyNumberFormat="0" applyAlignment="0" applyProtection="0"/>
    <xf numFmtId="170" fontId="35" fillId="0" borderId="0" applyFill="0" applyBorder="0" applyAlignment="0" applyProtection="0"/>
    <xf numFmtId="0" fontId="35" fillId="17" borderId="46" applyNumberFormat="0" applyAlignment="0" applyProtection="0"/>
    <xf numFmtId="170" fontId="35" fillId="0" borderId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63" fillId="11" borderId="45" applyNumberFormat="0" applyAlignment="0" applyProtection="0"/>
    <xf numFmtId="0" fontId="69" fillId="0" borderId="0" applyNumberFormat="0" applyFill="0" applyBorder="0" applyAlignment="0" applyProtection="0"/>
    <xf numFmtId="43" fontId="35" fillId="0" borderId="0" applyFill="0" applyBorder="0" applyAlignment="0" applyProtection="0"/>
    <xf numFmtId="43" fontId="35" fillId="0" borderId="0" applyFont="0" applyFill="0" applyBorder="0" applyAlignment="0" applyProtection="0"/>
    <xf numFmtId="0" fontId="64" fillId="0" borderId="0"/>
    <xf numFmtId="9" fontId="3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Fill="0" applyBorder="0" applyAlignment="0" applyProtection="0"/>
    <xf numFmtId="0" fontId="66" fillId="16" borderId="4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 textRotation="90"/>
    </xf>
  </cellStyleXfs>
  <cellXfs count="244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2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5" xfId="0" applyFont="1" applyBorder="1" applyAlignment="1">
      <alignment horizontal="left" vertical="center" wrapText="1"/>
      <protection locked="0"/>
    </xf>
    <xf numFmtId="0" fontId="25" fillId="0" borderId="4" xfId="0" applyFont="1" applyBorder="1" applyAlignment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29" fillId="2" borderId="5" xfId="0" applyFont="1" applyFill="1" applyBorder="1" applyAlignment="1">
      <alignment vertical="center"/>
      <protection locked="0"/>
    </xf>
    <xf numFmtId="164" fontId="30" fillId="0" borderId="4" xfId="0" applyNumberFormat="1" applyFont="1" applyBorder="1" applyAlignment="1">
      <alignment horizontal="right" vertical="center"/>
      <protection locked="0"/>
    </xf>
    <xf numFmtId="164" fontId="30" fillId="0" borderId="10" xfId="0" applyNumberFormat="1" applyFont="1" applyBorder="1" applyAlignment="1">
      <alignment horizontal="right" vertical="center"/>
      <protection locked="0"/>
    </xf>
    <xf numFmtId="164" fontId="30" fillId="0" borderId="12" xfId="0" applyNumberFormat="1" applyFont="1" applyBorder="1" applyAlignment="1">
      <alignment horizontal="right" vertical="center"/>
      <protection locked="0"/>
    </xf>
    <xf numFmtId="164" fontId="31" fillId="0" borderId="4" xfId="0" applyNumberFormat="1" applyFont="1" applyBorder="1" applyAlignment="1">
      <alignment horizontal="right" vertical="center"/>
      <protection locked="0"/>
    </xf>
    <xf numFmtId="164" fontId="32" fillId="0" borderId="5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vertical="center"/>
      <protection locked="0"/>
    </xf>
    <xf numFmtId="0" fontId="19" fillId="0" borderId="2" xfId="0" applyFont="1" applyBorder="1">
      <protection locked="0"/>
    </xf>
    <xf numFmtId="0" fontId="0" fillId="0" borderId="2" xfId="0" applyBorder="1">
      <protection locked="0"/>
    </xf>
    <xf numFmtId="0" fontId="29" fillId="3" borderId="8" xfId="0" applyFont="1" applyFill="1" applyBorder="1" applyAlignment="1">
      <alignment vertical="center"/>
      <protection locked="0"/>
    </xf>
    <xf numFmtId="164" fontId="30" fillId="3" borderId="7" xfId="0" applyNumberFormat="1" applyFont="1" applyFill="1" applyBorder="1" applyAlignment="1">
      <alignment horizontal="right" vertical="center"/>
      <protection locked="0"/>
    </xf>
    <xf numFmtId="164" fontId="30" fillId="3" borderId="1" xfId="0" applyNumberFormat="1" applyFont="1" applyFill="1" applyBorder="1" applyAlignment="1">
      <alignment horizontal="right" vertical="center"/>
      <protection locked="0"/>
    </xf>
    <xf numFmtId="164" fontId="31" fillId="3" borderId="7" xfId="0" applyNumberFormat="1" applyFont="1" applyFill="1" applyBorder="1" applyAlignment="1">
      <alignment horizontal="right" vertical="center"/>
      <protection locked="0"/>
    </xf>
    <xf numFmtId="164" fontId="31" fillId="3" borderId="1" xfId="0" applyNumberFormat="1" applyFont="1" applyFill="1" applyBorder="1" applyAlignment="1">
      <alignment horizontal="right" vertical="center"/>
      <protection locked="0"/>
    </xf>
    <xf numFmtId="164" fontId="33" fillId="3" borderId="8" xfId="0" applyNumberFormat="1" applyFont="1" applyFill="1" applyBorder="1" applyAlignment="1">
      <alignment horizontal="right" vertical="center"/>
      <protection locked="0"/>
    </xf>
    <xf numFmtId="164" fontId="30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4" fontId="31" fillId="0" borderId="10" xfId="0" applyNumberFormat="1" applyFont="1" applyBorder="1" applyAlignment="1">
      <alignment horizontal="right" vertical="center"/>
      <protection locked="0"/>
    </xf>
    <xf numFmtId="165" fontId="34" fillId="0" borderId="5" xfId="0" applyNumberFormat="1" applyFont="1" applyBorder="1" applyAlignment="1">
      <alignment horizontal="right" vertical="center"/>
      <protection locked="0"/>
    </xf>
    <xf numFmtId="49" fontId="34" fillId="3" borderId="8" xfId="0" applyNumberFormat="1" applyFont="1" applyFill="1" applyBorder="1" applyAlignment="1">
      <alignment horizontal="right" vertical="center"/>
      <protection locked="0"/>
    </xf>
    <xf numFmtId="0" fontId="36" fillId="0" borderId="0" xfId="2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37" fillId="0" borderId="0" xfId="2" applyFont="1" applyFill="1" applyBorder="1"/>
    <xf numFmtId="0" fontId="35" fillId="0" borderId="0" xfId="2" applyFill="1"/>
    <xf numFmtId="0" fontId="41" fillId="0" borderId="0" xfId="2" applyFont="1" applyFill="1" applyAlignment="1"/>
    <xf numFmtId="0" fontId="42" fillId="0" borderId="0" xfId="2" applyFont="1" applyFill="1"/>
    <xf numFmtId="0" fontId="35" fillId="0" borderId="0" xfId="2" applyFill="1" applyAlignment="1">
      <alignment horizontal="center"/>
    </xf>
    <xf numFmtId="0" fontId="44" fillId="0" borderId="0" xfId="2" applyFont="1" applyFill="1"/>
    <xf numFmtId="0" fontId="44" fillId="0" borderId="0" xfId="2" applyFont="1" applyFill="1" applyBorder="1"/>
    <xf numFmtId="0" fontId="38" fillId="0" borderId="0" xfId="2" applyFont="1" applyFill="1"/>
    <xf numFmtId="166" fontId="38" fillId="0" borderId="0" xfId="2" applyNumberFormat="1" applyFont="1" applyFill="1"/>
    <xf numFmtId="167" fontId="38" fillId="0" borderId="0" xfId="2" applyNumberFormat="1" applyFont="1" applyFill="1"/>
    <xf numFmtId="0" fontId="48" fillId="0" borderId="0" xfId="2" applyFont="1" applyFill="1" applyAlignment="1">
      <alignment horizontal="left" vertical="center"/>
    </xf>
    <xf numFmtId="0" fontId="49" fillId="0" borderId="0" xfId="2" applyFont="1" applyFill="1" applyAlignment="1"/>
    <xf numFmtId="2" fontId="49" fillId="0" borderId="0" xfId="2" applyNumberFormat="1" applyFont="1" applyFill="1" applyBorder="1" applyAlignment="1">
      <alignment horizontal="left" vertical="center"/>
    </xf>
    <xf numFmtId="2" fontId="48" fillId="0" borderId="0" xfId="2" applyNumberFormat="1" applyFont="1" applyFill="1" applyAlignment="1">
      <alignment horizontal="left" vertical="center"/>
    </xf>
    <xf numFmtId="2" fontId="49" fillId="0" borderId="0" xfId="2" applyNumberFormat="1" applyFont="1" applyFill="1" applyAlignment="1"/>
    <xf numFmtId="0" fontId="49" fillId="0" borderId="0" xfId="2" applyFont="1" applyFill="1"/>
    <xf numFmtId="0" fontId="44" fillId="0" borderId="20" xfId="2" applyFont="1" applyFill="1" applyBorder="1"/>
    <xf numFmtId="2" fontId="46" fillId="0" borderId="20" xfId="2" applyNumberFormat="1" applyFont="1" applyFill="1" applyBorder="1" applyAlignment="1">
      <alignment horizontal="center" vertical="center" wrapText="1"/>
    </xf>
    <xf numFmtId="9" fontId="46" fillId="0" borderId="20" xfId="1" applyFont="1" applyFill="1" applyBorder="1" applyAlignment="1">
      <alignment horizontal="right" vertical="center" wrapText="1"/>
    </xf>
    <xf numFmtId="0" fontId="44" fillId="0" borderId="21" xfId="2" applyFont="1" applyFill="1" applyBorder="1"/>
    <xf numFmtId="2" fontId="46" fillId="0" borderId="21" xfId="2" applyNumberFormat="1" applyFont="1" applyFill="1" applyBorder="1" applyAlignment="1">
      <alignment horizontal="center" vertical="center" wrapText="1"/>
    </xf>
    <xf numFmtId="9" fontId="46" fillId="0" borderId="21" xfId="1" applyFont="1" applyFill="1" applyBorder="1" applyAlignment="1">
      <alignment horizontal="right" vertical="center" wrapText="1"/>
    </xf>
    <xf numFmtId="0" fontId="44" fillId="0" borderId="22" xfId="2" applyFont="1" applyFill="1" applyBorder="1"/>
    <xf numFmtId="2" fontId="46" fillId="0" borderId="22" xfId="2" applyNumberFormat="1" applyFont="1" applyFill="1" applyBorder="1" applyAlignment="1">
      <alignment horizontal="center" vertical="center" wrapText="1"/>
    </xf>
    <xf numFmtId="9" fontId="46" fillId="0" borderId="22" xfId="1" applyFont="1" applyFill="1" applyBorder="1" applyAlignment="1">
      <alignment horizontal="right" vertical="center" wrapText="1"/>
    </xf>
    <xf numFmtId="2" fontId="51" fillId="7" borderId="0" xfId="2" applyNumberFormat="1" applyFont="1" applyFill="1" applyBorder="1" applyAlignment="1">
      <alignment horizontal="left" vertical="center"/>
    </xf>
    <xf numFmtId="0" fontId="52" fillId="7" borderId="0" xfId="2" applyFont="1" applyFill="1"/>
    <xf numFmtId="0" fontId="52" fillId="8" borderId="0" xfId="2" applyFont="1" applyFill="1"/>
    <xf numFmtId="4" fontId="53" fillId="8" borderId="0" xfId="2" applyNumberFormat="1" applyFont="1" applyFill="1" applyAlignment="1" applyProtection="1">
      <protection locked="0"/>
    </xf>
    <xf numFmtId="0" fontId="53" fillId="7" borderId="0" xfId="2" applyFont="1" applyFill="1" applyBorder="1"/>
    <xf numFmtId="166" fontId="53" fillId="8" borderId="0" xfId="2" applyNumberFormat="1" applyFont="1" applyFill="1"/>
    <xf numFmtId="0" fontId="37" fillId="7" borderId="0" xfId="2" applyFont="1" applyFill="1" applyBorder="1" applyAlignment="1">
      <alignment horizontal="left" vertical="center"/>
    </xf>
    <xf numFmtId="0" fontId="37" fillId="7" borderId="0" xfId="2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horizontal="left" vertical="center"/>
    </xf>
    <xf numFmtId="166" fontId="37" fillId="7" borderId="0" xfId="2" applyNumberFormat="1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vertical="center"/>
    </xf>
    <xf numFmtId="0" fontId="54" fillId="7" borderId="0" xfId="2" applyFont="1" applyFill="1" applyBorder="1" applyAlignment="1">
      <alignment horizontal="left" vertical="center"/>
    </xf>
    <xf numFmtId="166" fontId="54" fillId="7" borderId="0" xfId="2" applyNumberFormat="1" applyFont="1" applyFill="1" applyBorder="1" applyAlignment="1">
      <alignment horizontal="left" vertical="center"/>
    </xf>
    <xf numFmtId="0" fontId="40" fillId="7" borderId="0" xfId="2" applyFont="1" applyFill="1" applyBorder="1" applyAlignment="1">
      <alignment horizontal="left" vertical="center"/>
    </xf>
    <xf numFmtId="3" fontId="55" fillId="7" borderId="0" xfId="2" applyNumberFormat="1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center" vertical="center"/>
    </xf>
    <xf numFmtId="168" fontId="54" fillId="7" borderId="23" xfId="2" applyNumberFormat="1" applyFont="1" applyFill="1" applyBorder="1" applyAlignment="1">
      <alignment horizontal="center" vertical="center"/>
    </xf>
    <xf numFmtId="168" fontId="54" fillId="7" borderId="2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left" vertical="center"/>
    </xf>
    <xf numFmtId="169" fontId="37" fillId="7" borderId="26" xfId="2" applyNumberFormat="1" applyFont="1" applyFill="1" applyBorder="1" applyAlignment="1">
      <alignment horizontal="center" vertical="center"/>
    </xf>
    <xf numFmtId="169" fontId="37" fillId="7" borderId="27" xfId="2" applyNumberFormat="1" applyFont="1" applyFill="1" applyBorder="1" applyAlignment="1">
      <alignment horizontal="center" vertical="center"/>
    </xf>
    <xf numFmtId="3" fontId="37" fillId="7" borderId="26" xfId="2" applyNumberFormat="1" applyFont="1" applyFill="1" applyBorder="1" applyAlignment="1">
      <alignment horizontal="center" vertical="center"/>
    </xf>
    <xf numFmtId="3" fontId="37" fillId="7" borderId="28" xfId="2" applyNumberFormat="1" applyFont="1" applyFill="1" applyBorder="1" applyAlignment="1">
      <alignment horizontal="center" vertical="center"/>
    </xf>
    <xf numFmtId="9" fontId="35" fillId="7" borderId="25" xfId="1" applyFill="1" applyBorder="1" applyAlignment="1" applyProtection="1">
      <alignment horizontal="center" vertical="center"/>
    </xf>
    <xf numFmtId="0" fontId="56" fillId="7" borderId="0" xfId="2" applyFont="1" applyFill="1" applyBorder="1" applyAlignment="1">
      <alignment vertical="center"/>
    </xf>
    <xf numFmtId="169" fontId="37" fillId="7" borderId="29" xfId="2" applyNumberFormat="1" applyFont="1" applyFill="1" applyBorder="1" applyAlignment="1">
      <alignment horizontal="center" vertical="center"/>
    </xf>
    <xf numFmtId="169" fontId="37" fillId="7" borderId="30" xfId="2" applyNumberFormat="1" applyFont="1" applyFill="1" applyBorder="1" applyAlignment="1">
      <alignment horizontal="center" vertical="center"/>
    </xf>
    <xf numFmtId="3" fontId="37" fillId="7" borderId="29" xfId="2" applyNumberFormat="1" applyFont="1" applyFill="1" applyBorder="1" applyAlignment="1">
      <alignment horizontal="center" vertical="center"/>
    </xf>
    <xf numFmtId="3" fontId="37" fillId="7" borderId="31" xfId="2" applyNumberFormat="1" applyFont="1" applyFill="1" applyBorder="1" applyAlignment="1">
      <alignment horizontal="center" vertical="center"/>
    </xf>
    <xf numFmtId="0" fontId="35" fillId="7" borderId="0" xfId="2" applyFill="1"/>
    <xf numFmtId="169" fontId="37" fillId="7" borderId="0" xfId="2" applyNumberFormat="1" applyFont="1" applyFill="1" applyBorder="1" applyAlignment="1">
      <alignment horizontal="right" vertical="center"/>
    </xf>
    <xf numFmtId="1" fontId="37" fillId="7" borderId="23" xfId="2" applyNumberFormat="1" applyFont="1" applyFill="1" applyBorder="1" applyAlignment="1">
      <alignment horizontal="center" vertical="center"/>
    </xf>
    <xf numFmtId="1" fontId="37" fillId="7" borderId="24" xfId="2" applyNumberFormat="1" applyFont="1" applyFill="1" applyBorder="1" applyAlignment="1">
      <alignment horizontal="center" vertical="center"/>
    </xf>
    <xf numFmtId="169" fontId="37" fillId="7" borderId="0" xfId="2" applyNumberFormat="1" applyFont="1" applyFill="1" applyBorder="1" applyAlignment="1">
      <alignment vertical="center"/>
    </xf>
    <xf numFmtId="9" fontId="35" fillId="7" borderId="0" xfId="1" applyFill="1" applyBorder="1" applyAlignment="1" applyProtection="1">
      <alignment vertical="center"/>
    </xf>
    <xf numFmtId="0" fontId="43" fillId="7" borderId="0" xfId="2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left" vertical="center"/>
    </xf>
    <xf numFmtId="0" fontId="54" fillId="7" borderId="0" xfId="2" applyFont="1" applyFill="1" applyBorder="1" applyAlignment="1">
      <alignment horizontal="center" vertical="center"/>
    </xf>
    <xf numFmtId="0" fontId="54" fillId="7" borderId="23" xfId="2" applyNumberFormat="1" applyFont="1" applyFill="1" applyBorder="1" applyAlignment="1">
      <alignment horizontal="center" vertical="center" wrapText="1"/>
    </xf>
    <xf numFmtId="0" fontId="54" fillId="7" borderId="24" xfId="2" applyNumberFormat="1" applyFont="1" applyFill="1" applyBorder="1" applyAlignment="1">
      <alignment horizontal="center" vertical="center" wrapText="1"/>
    </xf>
    <xf numFmtId="0" fontId="37" fillId="7" borderId="0" xfId="2" applyFont="1" applyFill="1" applyBorder="1" applyAlignment="1">
      <alignment horizontal="center" vertical="center"/>
    </xf>
    <xf numFmtId="169" fontId="37" fillId="7" borderId="32" xfId="2" applyNumberFormat="1" applyFont="1" applyFill="1" applyBorder="1" applyAlignment="1">
      <alignment horizontal="center" vertical="center"/>
    </xf>
    <xf numFmtId="169" fontId="37" fillId="7" borderId="33" xfId="2" applyNumberFormat="1" applyFont="1" applyFill="1" applyBorder="1" applyAlignment="1">
      <alignment horizontal="center" vertical="center"/>
    </xf>
    <xf numFmtId="0" fontId="54" fillId="7" borderId="3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center" vertical="center"/>
    </xf>
    <xf numFmtId="169" fontId="37" fillId="7" borderId="28" xfId="2" applyNumberFormat="1" applyFont="1" applyFill="1" applyBorder="1" applyAlignment="1">
      <alignment horizontal="center" vertical="center"/>
    </xf>
    <xf numFmtId="1" fontId="37" fillId="7" borderId="35" xfId="2" applyNumberFormat="1" applyFont="1" applyFill="1" applyBorder="1" applyAlignment="1">
      <alignment horizontal="center" vertical="center"/>
    </xf>
    <xf numFmtId="9" fontId="37" fillId="7" borderId="23" xfId="1" applyFont="1" applyFill="1" applyBorder="1" applyAlignment="1" applyProtection="1">
      <alignment horizontal="center" vertical="center"/>
    </xf>
    <xf numFmtId="9" fontId="37" fillId="7" borderId="24" xfId="1" applyFont="1" applyFill="1" applyBorder="1" applyAlignment="1" applyProtection="1">
      <alignment horizontal="center" vertical="center"/>
    </xf>
    <xf numFmtId="9" fontId="37" fillId="7" borderId="35" xfId="1" applyFont="1" applyFill="1" applyBorder="1" applyAlignment="1" applyProtection="1">
      <alignment horizontal="center" vertical="center"/>
    </xf>
    <xf numFmtId="1" fontId="5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horizontal="center"/>
    </xf>
    <xf numFmtId="0" fontId="44" fillId="0" borderId="41" xfId="2" applyFont="1" applyFill="1" applyBorder="1"/>
    <xf numFmtId="2" fontId="46" fillId="0" borderId="41" xfId="2" applyNumberFormat="1" applyFont="1" applyFill="1" applyBorder="1" applyAlignment="1">
      <alignment horizontal="center" vertical="center" wrapText="1"/>
    </xf>
    <xf numFmtId="9" fontId="46" fillId="0" borderId="41" xfId="1" applyFont="1" applyFill="1" applyBorder="1" applyAlignment="1">
      <alignment horizontal="right" vertical="center" wrapText="1"/>
    </xf>
    <xf numFmtId="0" fontId="44" fillId="0" borderId="42" xfId="2" applyFont="1" applyFill="1" applyBorder="1"/>
    <xf numFmtId="2" fontId="46" fillId="0" borderId="42" xfId="2" applyNumberFormat="1" applyFont="1" applyFill="1" applyBorder="1" applyAlignment="1">
      <alignment horizontal="center" vertical="center" wrapText="1"/>
    </xf>
    <xf numFmtId="9" fontId="46" fillId="0" borderId="42" xfId="1" applyFont="1" applyFill="1" applyBorder="1" applyAlignment="1">
      <alignment horizontal="right" vertical="center" wrapText="1"/>
    </xf>
    <xf numFmtId="0" fontId="44" fillId="0" borderId="43" xfId="2" applyFont="1" applyFill="1" applyBorder="1"/>
    <xf numFmtId="2" fontId="46" fillId="0" borderId="43" xfId="2" applyNumberFormat="1" applyFont="1" applyFill="1" applyBorder="1" applyAlignment="1">
      <alignment horizontal="center" vertical="center" wrapText="1"/>
    </xf>
    <xf numFmtId="9" fontId="46" fillId="0" borderId="43" xfId="1" applyFont="1" applyFill="1" applyBorder="1" applyAlignment="1">
      <alignment horizontal="right" vertical="center" wrapText="1"/>
    </xf>
    <xf numFmtId="0" fontId="46" fillId="8" borderId="0" xfId="2" applyFont="1" applyFill="1" applyAlignment="1">
      <alignment horizontal="left" vertical="center" wrapText="1"/>
    </xf>
    <xf numFmtId="9" fontId="0" fillId="0" borderId="0" xfId="4" applyFont="1" applyAlignment="1" applyProtection="1">
      <alignment vertical="center"/>
      <protection locked="0"/>
    </xf>
    <xf numFmtId="164" fontId="31" fillId="0" borderId="12" xfId="0" applyNumberFormat="1" applyFont="1" applyBorder="1" applyAlignment="1">
      <alignment horizontal="right" vertical="center"/>
      <protection locked="0"/>
    </xf>
    <xf numFmtId="0" fontId="29" fillId="3" borderId="6" xfId="0" applyFont="1" applyFill="1" applyBorder="1" applyAlignment="1">
      <alignment vertical="center"/>
      <protection locked="0"/>
    </xf>
    <xf numFmtId="164" fontId="30" fillId="3" borderId="3" xfId="0" applyNumberFormat="1" applyFont="1" applyFill="1" applyBorder="1" applyAlignment="1">
      <alignment horizontal="right" vertical="center"/>
      <protection locked="0"/>
    </xf>
    <xf numFmtId="164" fontId="30" fillId="3" borderId="0" xfId="0" applyNumberFormat="1" applyFont="1" applyFill="1" applyBorder="1" applyAlignment="1">
      <alignment horizontal="right" vertical="center"/>
      <protection locked="0"/>
    </xf>
    <xf numFmtId="164" fontId="31" fillId="3" borderId="3" xfId="0" applyNumberFormat="1" applyFont="1" applyFill="1" applyBorder="1" applyAlignment="1">
      <alignment horizontal="right" vertical="center"/>
      <protection locked="0"/>
    </xf>
    <xf numFmtId="164" fontId="31" fillId="3" borderId="0" xfId="0" applyNumberFormat="1" applyFont="1" applyFill="1" applyBorder="1" applyAlignment="1">
      <alignment horizontal="right" vertical="center"/>
      <protection locked="0"/>
    </xf>
    <xf numFmtId="164" fontId="33" fillId="3" borderId="6" xfId="0" applyNumberFormat="1" applyFont="1" applyFill="1" applyBorder="1" applyAlignment="1">
      <alignment horizontal="right" vertical="center"/>
      <protection locked="0"/>
    </xf>
    <xf numFmtId="164" fontId="30" fillId="3" borderId="44" xfId="0" applyNumberFormat="1" applyFont="1" applyFill="1" applyBorder="1" applyAlignment="1">
      <alignment horizontal="right" vertical="center"/>
      <protection locked="0"/>
    </xf>
    <xf numFmtId="164" fontId="30" fillId="0" borderId="3" xfId="0" applyNumberFormat="1" applyFont="1" applyFill="1" applyBorder="1" applyAlignment="1">
      <alignment horizontal="right" vertical="center"/>
      <protection locked="0"/>
    </xf>
    <xf numFmtId="164" fontId="30" fillId="0" borderId="0" xfId="0" applyNumberFormat="1" applyFont="1" applyFill="1" applyBorder="1" applyAlignment="1">
      <alignment horizontal="right" vertical="center"/>
      <protection locked="0"/>
    </xf>
    <xf numFmtId="164" fontId="31" fillId="0" borderId="3" xfId="0" applyNumberFormat="1" applyFont="1" applyFill="1" applyBorder="1" applyAlignment="1">
      <alignment horizontal="right" vertical="center"/>
      <protection locked="0"/>
    </xf>
    <xf numFmtId="164" fontId="31" fillId="0" borderId="0" xfId="0" applyNumberFormat="1" applyFont="1" applyFill="1" applyBorder="1" applyAlignment="1">
      <alignment horizontal="right" vertical="center"/>
      <protection locked="0"/>
    </xf>
    <xf numFmtId="164" fontId="33" fillId="0" borderId="6" xfId="0" applyNumberFormat="1" applyFont="1" applyFill="1" applyBorder="1" applyAlignment="1">
      <alignment horizontal="right" vertical="center"/>
      <protection locked="0"/>
    </xf>
    <xf numFmtId="164" fontId="30" fillId="0" borderId="4" xfId="0" applyNumberFormat="1" applyFont="1" applyFill="1" applyBorder="1" applyAlignment="1">
      <alignment horizontal="right" vertical="center"/>
      <protection locked="0"/>
    </xf>
    <xf numFmtId="164" fontId="30" fillId="0" borderId="10" xfId="0" applyNumberFormat="1" applyFont="1" applyFill="1" applyBorder="1" applyAlignment="1">
      <alignment horizontal="right" vertical="center"/>
      <protection locked="0"/>
    </xf>
    <xf numFmtId="164" fontId="31" fillId="0" borderId="10" xfId="0" applyNumberFormat="1" applyFont="1" applyFill="1" applyBorder="1" applyAlignment="1">
      <alignment horizontal="right" vertical="center"/>
      <protection locked="0"/>
    </xf>
    <xf numFmtId="164" fontId="31" fillId="0" borderId="4" xfId="0" applyNumberFormat="1" applyFont="1" applyFill="1" applyBorder="1" applyAlignment="1">
      <alignment horizontal="right" vertical="center"/>
      <protection locked="0"/>
    </xf>
    <xf numFmtId="165" fontId="34" fillId="0" borderId="12" xfId="0" applyNumberFormat="1" applyFont="1" applyBorder="1" applyAlignment="1">
      <alignment horizontal="right" vertical="center"/>
      <protection locked="0"/>
    </xf>
    <xf numFmtId="0" fontId="35" fillId="0" borderId="0" xfId="2"/>
    <xf numFmtId="49" fontId="71" fillId="0" borderId="0" xfId="2" applyNumberFormat="1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72" fillId="0" borderId="0" xfId="2" applyFont="1"/>
    <xf numFmtId="0" fontId="70" fillId="0" borderId="0" xfId="2" applyFont="1" applyFill="1" applyAlignment="1"/>
    <xf numFmtId="0" fontId="40" fillId="0" borderId="0" xfId="2" applyFont="1" applyFill="1" applyAlignment="1"/>
    <xf numFmtId="0" fontId="35" fillId="0" borderId="0" xfId="2" applyFill="1"/>
    <xf numFmtId="0" fontId="73" fillId="0" borderId="0" xfId="2" applyFont="1" applyFill="1" applyAlignment="1"/>
    <xf numFmtId="0" fontId="35" fillId="0" borderId="0" xfId="2" applyFont="1" applyFill="1" applyAlignment="1"/>
    <xf numFmtId="0" fontId="40" fillId="0" borderId="0" xfId="2" applyFont="1" applyAlignment="1">
      <alignment vertical="center"/>
    </xf>
    <xf numFmtId="0" fontId="74" fillId="0" borderId="0" xfId="2" applyFont="1" applyFill="1" applyAlignment="1">
      <alignment horizontal="center" vertical="center" wrapText="1"/>
    </xf>
    <xf numFmtId="0" fontId="35" fillId="0" borderId="0" xfId="2" applyFill="1" applyAlignment="1">
      <alignment vertical="center"/>
    </xf>
    <xf numFmtId="3" fontId="37" fillId="7" borderId="50" xfId="2" applyNumberFormat="1" applyFont="1" applyFill="1" applyBorder="1" applyAlignment="1">
      <alignment horizontal="center" vertical="center"/>
    </xf>
    <xf numFmtId="3" fontId="37" fillId="7" borderId="51" xfId="2" applyNumberFormat="1" applyFont="1" applyFill="1" applyBorder="1" applyAlignment="1">
      <alignment horizontal="center" vertical="center"/>
    </xf>
    <xf numFmtId="0" fontId="46" fillId="8" borderId="53" xfId="2" applyFont="1" applyFill="1" applyBorder="1" applyAlignment="1">
      <alignment horizontal="center" vertical="center" wrapText="1"/>
    </xf>
    <xf numFmtId="0" fontId="58" fillId="8" borderId="54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56" xfId="2" applyFont="1" applyFill="1" applyBorder="1" applyAlignment="1">
      <alignment horizontal="center" vertical="center" wrapText="1"/>
    </xf>
    <xf numFmtId="166" fontId="54" fillId="7" borderId="0" xfId="2" applyNumberFormat="1" applyFont="1" applyFill="1" applyBorder="1" applyAlignment="1">
      <alignment horizontal="center" vertical="center" wrapText="1"/>
    </xf>
    <xf numFmtId="9" fontId="35" fillId="7" borderId="0" xfId="1" applyFill="1" applyBorder="1" applyAlignment="1" applyProtection="1">
      <alignment horizontal="center" vertical="center"/>
    </xf>
    <xf numFmtId="168" fontId="54" fillId="7" borderId="57" xfId="2" applyNumberFormat="1" applyFont="1" applyFill="1" applyBorder="1" applyAlignment="1">
      <alignment horizontal="center" vertical="center"/>
    </xf>
    <xf numFmtId="9" fontId="35" fillId="7" borderId="58" xfId="1" applyFill="1" applyBorder="1" applyAlignment="1">
      <alignment horizontal="center" vertical="center"/>
    </xf>
    <xf numFmtId="9" fontId="35" fillId="7" borderId="59" xfId="1" applyFill="1" applyBorder="1" applyAlignment="1">
      <alignment horizontal="center" vertical="center"/>
    </xf>
    <xf numFmtId="49" fontId="54" fillId="7" borderId="49" xfId="2" applyNumberFormat="1" applyFont="1" applyFill="1" applyBorder="1" applyAlignment="1">
      <alignment horizontal="center" vertical="center"/>
    </xf>
    <xf numFmtId="1" fontId="37" fillId="7" borderId="49" xfId="2" applyNumberFormat="1" applyFont="1" applyFill="1" applyBorder="1" applyAlignment="1">
      <alignment horizontal="center" vertical="center"/>
    </xf>
    <xf numFmtId="9" fontId="35" fillId="7" borderId="52" xfId="1" applyFill="1" applyBorder="1" applyAlignment="1">
      <alignment horizontal="center" vertical="center"/>
    </xf>
    <xf numFmtId="0" fontId="46" fillId="8" borderId="48" xfId="2" applyFont="1" applyFill="1" applyBorder="1" applyAlignment="1">
      <alignment horizontal="center" vertical="center" wrapText="1"/>
    </xf>
    <xf numFmtId="0" fontId="54" fillId="7" borderId="35" xfId="2" applyNumberFormat="1" applyFont="1" applyFill="1" applyBorder="1" applyAlignment="1">
      <alignment horizontal="center" vertical="center" wrapText="1"/>
    </xf>
    <xf numFmtId="169" fontId="37" fillId="7" borderId="60" xfId="2" applyNumberFormat="1" applyFont="1" applyFill="1" applyBorder="1" applyAlignment="1">
      <alignment horizontal="center" vertical="center"/>
    </xf>
    <xf numFmtId="169" fontId="37" fillId="7" borderId="25" xfId="2" applyNumberFormat="1" applyFont="1" applyFill="1" applyBorder="1" applyAlignment="1">
      <alignment horizontal="center" vertical="center"/>
    </xf>
    <xf numFmtId="0" fontId="54" fillId="7" borderId="52" xfId="2" applyNumberFormat="1" applyFont="1" applyFill="1" applyBorder="1" applyAlignment="1">
      <alignment horizontal="center" vertical="center" wrapText="1"/>
    </xf>
    <xf numFmtId="169" fontId="37" fillId="7" borderId="61" xfId="2" applyNumberFormat="1" applyFont="1" applyFill="1" applyBorder="1" applyAlignment="1">
      <alignment horizontal="center" vertical="center"/>
    </xf>
    <xf numFmtId="169" fontId="37" fillId="7" borderId="62" xfId="2" applyNumberFormat="1" applyFont="1" applyFill="1" applyBorder="1" applyAlignment="1">
      <alignment horizontal="center" vertical="center"/>
    </xf>
    <xf numFmtId="1" fontId="37" fillId="7" borderId="52" xfId="2" applyNumberFormat="1" applyFont="1" applyFill="1" applyBorder="1" applyAlignment="1">
      <alignment horizontal="center" vertical="center"/>
    </xf>
    <xf numFmtId="9" fontId="37" fillId="7" borderId="52" xfId="1" applyFont="1" applyFill="1" applyBorder="1" applyAlignment="1" applyProtection="1">
      <alignment horizontal="center" vertical="center"/>
    </xf>
    <xf numFmtId="0" fontId="58" fillId="8" borderId="63" xfId="2" applyFont="1" applyFill="1" applyBorder="1" applyAlignment="1">
      <alignment horizontal="center" vertical="center" wrapText="1"/>
    </xf>
    <xf numFmtId="0" fontId="46" fillId="8" borderId="63" xfId="2" applyFont="1" applyFill="1" applyBorder="1" applyAlignment="1">
      <alignment horizontal="center" vertical="center" wrapText="1"/>
    </xf>
    <xf numFmtId="0" fontId="58" fillId="8" borderId="64" xfId="2" applyFont="1" applyFill="1" applyBorder="1" applyAlignment="1">
      <alignment horizontal="center" vertical="center" wrapText="1"/>
    </xf>
    <xf numFmtId="9" fontId="37" fillId="7" borderId="48" xfId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3" fillId="2" borderId="2" xfId="0" applyFont="1" applyFill="1" applyBorder="1" applyAlignment="1">
      <alignment vertical="center" wrapText="1"/>
      <protection locked="0"/>
    </xf>
    <xf numFmtId="0" fontId="35" fillId="0" borderId="0" xfId="2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50" fillId="0" borderId="0" xfId="2" applyFont="1" applyFill="1" applyBorder="1" applyAlignment="1">
      <alignment horizontal="center"/>
    </xf>
    <xf numFmtId="0" fontId="45" fillId="0" borderId="14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6" fillId="6" borderId="15" xfId="2" applyFont="1" applyFill="1" applyBorder="1" applyAlignment="1">
      <alignment horizontal="center" vertical="center" wrapText="1"/>
    </xf>
    <xf numFmtId="0" fontId="46" fillId="6" borderId="18" xfId="2" applyFont="1" applyFill="1" applyBorder="1" applyAlignment="1">
      <alignment horizontal="center" vertical="center" wrapText="1"/>
    </xf>
    <xf numFmtId="0" fontId="46" fillId="6" borderId="16" xfId="2" applyFont="1" applyFill="1" applyBorder="1" applyAlignment="1">
      <alignment horizontal="center" vertical="center" wrapText="1"/>
    </xf>
    <xf numFmtId="0" fontId="46" fillId="6" borderId="0" xfId="2" applyFont="1" applyFill="1" applyBorder="1" applyAlignment="1">
      <alignment horizontal="center" vertical="center" wrapText="1"/>
    </xf>
    <xf numFmtId="0" fontId="46" fillId="6" borderId="17" xfId="2" applyFont="1" applyFill="1" applyBorder="1" applyAlignment="1">
      <alignment horizontal="center" vertical="center" wrapText="1"/>
    </xf>
    <xf numFmtId="0" fontId="46" fillId="6" borderId="19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/>
    <xf numFmtId="2" fontId="47" fillId="0" borderId="0" xfId="2" applyNumberFormat="1" applyFont="1" applyFill="1" applyBorder="1" applyAlignment="1">
      <alignment horizontal="left" vertical="center" shrinkToFit="1"/>
    </xf>
    <xf numFmtId="0" fontId="46" fillId="6" borderId="36" xfId="2" applyFont="1" applyFill="1" applyBorder="1" applyAlignment="1">
      <alignment horizontal="center" vertical="center" wrapText="1"/>
    </xf>
    <xf numFmtId="0" fontId="46" fillId="6" borderId="39" xfId="2" applyFont="1" applyFill="1" applyBorder="1" applyAlignment="1">
      <alignment horizontal="center" vertical="center" wrapText="1"/>
    </xf>
    <xf numFmtId="0" fontId="46" fillId="6" borderId="37" xfId="2" applyFont="1" applyFill="1" applyBorder="1" applyAlignment="1">
      <alignment horizontal="center" vertical="center" wrapText="1"/>
    </xf>
    <xf numFmtId="0" fontId="46" fillId="6" borderId="38" xfId="2" applyFont="1" applyFill="1" applyBorder="1" applyAlignment="1">
      <alignment horizontal="center" vertical="center" wrapText="1"/>
    </xf>
    <xf numFmtId="0" fontId="46" fillId="6" borderId="40" xfId="2" applyFont="1" applyFill="1" applyBorder="1" applyAlignment="1">
      <alignment horizontal="center" vertical="center" wrapText="1"/>
    </xf>
    <xf numFmtId="0" fontId="39" fillId="0" borderId="0" xfId="2" applyFont="1" applyFill="1" applyBorder="1"/>
    <xf numFmtId="9" fontId="37" fillId="0" borderId="0" xfId="4" applyFont="1" applyFill="1"/>
  </cellXfs>
  <cellStyles count="30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 2" xfId="21"/>
    <cellStyle name="Milliers 3" xfId="20"/>
    <cellStyle name="Normal" xfId="0" builtinId="0"/>
    <cellStyle name="Normal 2" xfId="2"/>
    <cellStyle name="Normal 3" xfId="22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  <c:pt idx="7">
                  <c:v>283.89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  <c:pt idx="7">
                  <c:v>436.46</c:v>
                </c:pt>
                <c:pt idx="8">
                  <c:v>425.98</c:v>
                </c:pt>
                <c:pt idx="9">
                  <c:v>408.83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  <c:pt idx="7">
                  <c:v>541.25</c:v>
                </c:pt>
                <c:pt idx="8">
                  <c:v>471.1</c:v>
                </c:pt>
                <c:pt idx="9">
                  <c:v>427.17</c:v>
                </c:pt>
                <c:pt idx="10">
                  <c:v>416.17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-0.25575799243726371</c:v>
                </c:pt>
                <c:pt idx="8">
                  <c:v>-0.48242144583607993</c:v>
                </c:pt>
                <c:pt idx="9">
                  <c:v>-0.57643034209221611</c:v>
                </c:pt>
                <c:pt idx="10">
                  <c:v>-0.50248655110579787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458.13</c:v>
                </c:pt>
                <c:pt idx="10">
                  <c:v>431.67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35,46Mt,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1,58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1,91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0,44 Mt Occitanie : 1er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5546875" defaultRowHeight="12.75"/>
  <cols>
    <col min="1" max="10" width="10.85546875" style="1" customWidth="1"/>
    <col min="11" max="11" width="24.85546875" style="1" customWidth="1"/>
    <col min="12" max="16" width="10.85546875" style="1" customWidth="1"/>
    <col min="17" max="1023" width="10.7109375" style="1" customWidth="1"/>
    <col min="1024" max="1025" width="11.285156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8">
      <c r="A4" s="220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5"/>
      <c r="M4" s="5"/>
      <c r="N4" s="5"/>
      <c r="O4" s="5"/>
      <c r="P4" s="5"/>
    </row>
    <row r="6" spans="1:16" ht="18">
      <c r="A6" s="3" t="s">
        <v>2</v>
      </c>
    </row>
    <row r="7" spans="1:16" ht="1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8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8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8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8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5">
      <c r="A16" s="9" t="s">
        <v>8</v>
      </c>
    </row>
    <row r="17" spans="1:16" ht="18">
      <c r="A17" s="10"/>
    </row>
    <row r="18" spans="1:16" ht="18">
      <c r="A18" s="10" t="s">
        <v>9</v>
      </c>
    </row>
    <row r="19" spans="1:16" ht="18">
      <c r="A19" s="3" t="s">
        <v>10</v>
      </c>
    </row>
    <row r="20" spans="1:16" ht="18">
      <c r="A20" s="3" t="s">
        <v>11</v>
      </c>
    </row>
    <row r="21" spans="1:16" ht="18">
      <c r="A21" s="3" t="s">
        <v>12</v>
      </c>
    </row>
    <row r="22" spans="1:16" ht="18">
      <c r="A22" s="3" t="s">
        <v>13</v>
      </c>
    </row>
    <row r="23" spans="1:16" ht="18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11" t="s">
        <v>16</v>
      </c>
    </row>
    <row r="29" spans="1:16" ht="18">
      <c r="A29" s="3" t="s">
        <v>17</v>
      </c>
    </row>
    <row r="31" spans="1:16" ht="15.75" customHeight="1">
      <c r="A31" s="2"/>
      <c r="B31" s="2" t="s">
        <v>18</v>
      </c>
    </row>
    <row r="32" spans="1:16" ht="18">
      <c r="A32" s="5"/>
    </row>
    <row r="33" spans="1:16" ht="18">
      <c r="A33" s="5" t="s">
        <v>19</v>
      </c>
    </row>
    <row r="34" spans="1:16" ht="18">
      <c r="A34" s="221" t="s">
        <v>20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5"/>
      <c r="M34" s="5"/>
      <c r="N34" s="5"/>
      <c r="O34" s="5"/>
      <c r="P34" s="5"/>
    </row>
    <row r="35" spans="1:16" ht="18">
      <c r="A35" s="12" t="s">
        <v>21</v>
      </c>
    </row>
    <row r="36" spans="1:16" ht="18">
      <c r="A36" s="222" t="s">
        <v>22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5"/>
      <c r="M36" s="5"/>
      <c r="N36" s="5"/>
      <c r="O36" s="5"/>
      <c r="P36" s="5"/>
    </row>
    <row r="37" spans="1:16" ht="18">
      <c r="A37" s="13" t="s">
        <v>23</v>
      </c>
    </row>
    <row r="38" spans="1:16" ht="18">
      <c r="A38" s="14"/>
    </row>
    <row r="39" spans="1:16" ht="15">
      <c r="A39" s="9" t="s">
        <v>24</v>
      </c>
    </row>
    <row r="40" spans="1:16" ht="18">
      <c r="A40" s="15" t="s">
        <v>25</v>
      </c>
    </row>
    <row r="41" spans="1:16" ht="18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8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8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5546875" defaultRowHeight="12.75"/>
  <cols>
    <col min="1" max="1" width="24.85546875" style="1" customWidth="1"/>
    <col min="2" max="13" width="8.28515625" style="1" customWidth="1"/>
    <col min="14" max="1023" width="10.7109375" style="1" customWidth="1"/>
    <col min="1024" max="1025" width="11.285156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8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8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8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8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8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8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8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8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8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8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8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8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8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8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8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8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8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8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8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8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8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8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8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8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8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tabSelected="1" topLeftCell="A13" zoomScale="59" zoomScaleNormal="59" workbookViewId="0">
      <selection activeCell="AD24" sqref="AD24"/>
    </sheetView>
  </sheetViews>
  <sheetFormatPr baseColWidth="10" defaultColWidth="11.5703125" defaultRowHeight="12.75"/>
  <cols>
    <col min="1" max="1" width="17" style="181" customWidth="1"/>
    <col min="2" max="2" width="10.42578125" style="181" customWidth="1"/>
    <col min="3" max="4" width="9.42578125" style="181" customWidth="1"/>
    <col min="5" max="5" width="10.42578125" style="181" customWidth="1"/>
    <col min="6" max="6" width="10.28515625" style="181" customWidth="1"/>
    <col min="7" max="7" width="9.42578125" style="181" customWidth="1"/>
    <col min="8" max="8" width="9.7109375" style="181" customWidth="1"/>
    <col min="9" max="9" width="9.28515625" style="181" customWidth="1"/>
    <col min="10" max="10" width="10.28515625" style="181" customWidth="1"/>
    <col min="11" max="11" width="9.42578125" style="181" customWidth="1"/>
    <col min="12" max="12" width="10" style="181" customWidth="1"/>
    <col min="13" max="13" width="9.5703125" style="181" customWidth="1"/>
    <col min="14" max="14" width="14" style="181" customWidth="1"/>
    <col min="15" max="15" width="11.140625" style="181" bestFit="1" customWidth="1"/>
    <col min="16" max="16" width="19.5703125" style="181" customWidth="1"/>
    <col min="17" max="17" width="11.5703125" style="181"/>
    <col min="18" max="18" width="4.28515625" style="181" customWidth="1"/>
    <col min="19" max="19" width="4.140625" style="181" customWidth="1"/>
    <col min="20" max="20" width="13.5703125" style="181" customWidth="1"/>
    <col min="21" max="16384" width="11.5703125" style="181"/>
  </cols>
  <sheetData>
    <row r="1" spans="1:22">
      <c r="A1" s="224" t="s">
        <v>149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P1" s="184"/>
    </row>
    <row r="2" spans="1:22">
      <c r="A2" s="182" t="s">
        <v>66</v>
      </c>
      <c r="P2" s="184"/>
    </row>
    <row r="3" spans="1:22">
      <c r="A3" s="182"/>
      <c r="P3" s="184"/>
    </row>
    <row r="4" spans="1:22">
      <c r="A4" s="182"/>
      <c r="P4" s="184"/>
    </row>
    <row r="5" spans="1:22">
      <c r="A5" s="182"/>
      <c r="P5" s="184"/>
    </row>
    <row r="6" spans="1:22">
      <c r="A6" s="182"/>
      <c r="P6" s="184"/>
    </row>
    <row r="7" spans="1:22" ht="15">
      <c r="B7" s="185"/>
      <c r="C7" s="185"/>
      <c r="D7" s="185"/>
      <c r="E7" s="186"/>
      <c r="F7" s="186"/>
      <c r="G7" s="186"/>
      <c r="H7" s="186"/>
      <c r="I7" s="186"/>
      <c r="J7" s="186"/>
      <c r="K7" s="187"/>
      <c r="L7" s="187"/>
      <c r="M7" s="187"/>
      <c r="N7" s="187"/>
      <c r="O7" s="187"/>
      <c r="P7" s="187"/>
      <c r="Q7" s="187"/>
      <c r="T7" s="188"/>
    </row>
    <row r="8" spans="1:22" ht="15">
      <c r="B8" s="185"/>
      <c r="C8" s="185"/>
      <c r="D8" s="185"/>
      <c r="E8" s="186"/>
      <c r="F8" s="186"/>
      <c r="G8" s="186"/>
      <c r="H8" s="186"/>
      <c r="I8" s="186"/>
      <c r="J8" s="186"/>
      <c r="K8" s="187"/>
      <c r="L8" s="187"/>
      <c r="M8" s="187"/>
      <c r="N8" s="187"/>
      <c r="O8" s="187"/>
      <c r="P8" s="187"/>
      <c r="Q8" s="187"/>
      <c r="T8" s="188"/>
    </row>
    <row r="9" spans="1:22" ht="15">
      <c r="A9" s="34" t="s">
        <v>156</v>
      </c>
      <c r="B9" s="37"/>
      <c r="C9" s="37"/>
      <c r="D9" s="37"/>
      <c r="E9" s="37"/>
      <c r="F9" s="37"/>
      <c r="G9" s="186"/>
      <c r="H9" s="186"/>
      <c r="I9" s="186"/>
      <c r="J9" s="186"/>
      <c r="K9" s="187"/>
      <c r="L9" s="187"/>
      <c r="M9" s="187"/>
      <c r="N9" s="187"/>
      <c r="O9" s="187"/>
      <c r="P9" s="187"/>
      <c r="Q9" s="187"/>
      <c r="T9" s="188"/>
    </row>
    <row r="10" spans="1:22" ht="14.25" customHeight="1">
      <c r="A10" s="38" t="s">
        <v>67</v>
      </c>
      <c r="B10" s="37"/>
      <c r="C10" s="37"/>
      <c r="D10" s="37"/>
      <c r="E10" s="37"/>
      <c r="F10" s="37"/>
      <c r="G10" s="189"/>
      <c r="H10" s="189"/>
      <c r="I10" s="189"/>
      <c r="J10" s="189"/>
      <c r="K10" s="187"/>
      <c r="L10" s="187"/>
      <c r="M10" s="187"/>
      <c r="N10" s="187"/>
      <c r="O10" s="187"/>
      <c r="P10" s="187"/>
      <c r="Q10" s="187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89"/>
      <c r="H11" s="189"/>
      <c r="I11" s="189"/>
      <c r="J11" s="189"/>
      <c r="K11" s="187"/>
      <c r="L11" s="187"/>
      <c r="M11" s="187"/>
      <c r="N11" s="187"/>
      <c r="O11" s="187"/>
      <c r="P11" s="187"/>
      <c r="Q11" s="187"/>
      <c r="T11" s="39" t="s">
        <v>69</v>
      </c>
    </row>
    <row r="12" spans="1:22" ht="12" customHeight="1">
      <c r="A12" s="35" t="s">
        <v>68</v>
      </c>
      <c r="B12" s="37"/>
      <c r="C12" s="37"/>
      <c r="D12" s="37"/>
      <c r="E12" s="37"/>
      <c r="F12" s="37"/>
      <c r="G12" s="189"/>
      <c r="H12" s="189"/>
      <c r="I12" s="189"/>
      <c r="J12" s="189"/>
      <c r="K12" s="187"/>
      <c r="L12" s="187"/>
      <c r="M12" s="187"/>
      <c r="N12" s="187"/>
      <c r="O12" s="187"/>
      <c r="P12" s="187"/>
      <c r="Q12" s="187"/>
      <c r="R12" s="190"/>
      <c r="S12" s="190"/>
      <c r="T12" s="225" t="s">
        <v>150</v>
      </c>
      <c r="U12" s="225"/>
      <c r="V12" s="225"/>
    </row>
    <row r="13" spans="1:22" ht="59.25" customHeight="1">
      <c r="A13" s="40" t="s">
        <v>130</v>
      </c>
      <c r="B13" s="41"/>
      <c r="C13" s="42" t="s">
        <v>70</v>
      </c>
      <c r="D13" s="43" t="s">
        <v>71</v>
      </c>
      <c r="E13" s="43" t="s">
        <v>72</v>
      </c>
      <c r="F13" s="43" t="s">
        <v>73</v>
      </c>
      <c r="G13" s="43" t="s">
        <v>74</v>
      </c>
      <c r="H13" s="43" t="s">
        <v>75</v>
      </c>
      <c r="I13" s="43" t="s">
        <v>76</v>
      </c>
      <c r="J13" s="43" t="s">
        <v>77</v>
      </c>
      <c r="K13" s="44" t="s">
        <v>78</v>
      </c>
      <c r="L13" s="45" t="s">
        <v>79</v>
      </c>
      <c r="M13" s="45" t="s">
        <v>80</v>
      </c>
      <c r="N13" s="45" t="s">
        <v>81</v>
      </c>
      <c r="O13" s="46" t="s">
        <v>82</v>
      </c>
      <c r="P13" s="47" t="s">
        <v>151</v>
      </c>
      <c r="Q13" s="191"/>
      <c r="T13" s="48" t="s">
        <v>131</v>
      </c>
      <c r="U13" s="49" t="s">
        <v>83</v>
      </c>
      <c r="V13" s="49" t="s">
        <v>84</v>
      </c>
    </row>
    <row r="14" spans="1:22" ht="15" customHeight="1">
      <c r="A14" s="223" t="s">
        <v>132</v>
      </c>
      <c r="B14" s="41" t="s">
        <v>85</v>
      </c>
      <c r="C14" s="51">
        <v>7210</v>
      </c>
      <c r="D14" s="52">
        <v>14680</v>
      </c>
      <c r="E14" s="52">
        <v>48100</v>
      </c>
      <c r="F14" s="52">
        <v>85960</v>
      </c>
      <c r="G14" s="52">
        <v>9740</v>
      </c>
      <c r="H14" s="52">
        <v>4990</v>
      </c>
      <c r="I14" s="52">
        <v>41260</v>
      </c>
      <c r="J14" s="53">
        <v>35035</v>
      </c>
      <c r="K14" s="54">
        <v>7400</v>
      </c>
      <c r="L14" s="67">
        <v>2200</v>
      </c>
      <c r="M14" s="67">
        <v>3350</v>
      </c>
      <c r="N14" s="163">
        <v>2455</v>
      </c>
      <c r="O14" s="55">
        <v>262380</v>
      </c>
      <c r="P14" s="68">
        <v>7.7779375218221897E-2</v>
      </c>
      <c r="Q14" s="162"/>
      <c r="R14" s="36"/>
      <c r="T14" s="57">
        <f>U14+V14</f>
        <v>243445</v>
      </c>
      <c r="U14" s="58">
        <v>227495</v>
      </c>
      <c r="V14" s="58">
        <v>15950</v>
      </c>
    </row>
    <row r="15" spans="1:22" ht="13.5" customHeight="1">
      <c r="A15" s="223"/>
      <c r="B15" s="50"/>
      <c r="C15" s="60"/>
      <c r="D15" s="61"/>
      <c r="E15" s="61"/>
      <c r="F15" s="61"/>
      <c r="G15" s="61"/>
      <c r="H15" s="61"/>
      <c r="I15" s="61"/>
      <c r="J15" s="61"/>
      <c r="K15" s="62"/>
      <c r="L15" s="63"/>
      <c r="M15" s="63"/>
      <c r="N15" s="63"/>
      <c r="O15" s="64"/>
      <c r="P15" s="65"/>
      <c r="Q15" s="56"/>
      <c r="R15" s="36"/>
      <c r="T15" s="66"/>
      <c r="U15" s="66"/>
      <c r="V15" s="66"/>
    </row>
    <row r="16" spans="1:22" ht="15" customHeight="1">
      <c r="A16" s="223" t="s">
        <v>133</v>
      </c>
      <c r="B16" s="50" t="s">
        <v>85</v>
      </c>
      <c r="C16" s="51">
        <v>1740</v>
      </c>
      <c r="D16" s="52">
        <v>480</v>
      </c>
      <c r="E16" s="52">
        <v>27200</v>
      </c>
      <c r="F16" s="52">
        <v>11260</v>
      </c>
      <c r="G16" s="52">
        <v>110</v>
      </c>
      <c r="H16" s="52">
        <v>40</v>
      </c>
      <c r="I16" s="52">
        <v>7445</v>
      </c>
      <c r="J16" s="53">
        <v>1590</v>
      </c>
      <c r="K16" s="54">
        <v>19000</v>
      </c>
      <c r="L16" s="67">
        <v>8200</v>
      </c>
      <c r="M16" s="67">
        <v>5200</v>
      </c>
      <c r="N16" s="67">
        <v>320</v>
      </c>
      <c r="O16" s="55">
        <v>82585</v>
      </c>
      <c r="P16" s="68">
        <v>-3.2509372071227699E-2</v>
      </c>
      <c r="Q16" s="162"/>
      <c r="R16" s="36"/>
      <c r="T16" s="57">
        <f>U16+V16</f>
        <v>85360</v>
      </c>
      <c r="U16" s="58">
        <v>51055</v>
      </c>
      <c r="V16" s="58">
        <v>34305</v>
      </c>
    </row>
    <row r="17" spans="1:22" ht="13.5" customHeight="1">
      <c r="A17" s="223"/>
      <c r="B17" s="59"/>
      <c r="C17" s="60"/>
      <c r="D17" s="61"/>
      <c r="E17" s="61"/>
      <c r="F17" s="61"/>
      <c r="G17" s="61"/>
      <c r="H17" s="61"/>
      <c r="I17" s="61"/>
      <c r="J17" s="61"/>
      <c r="K17" s="62"/>
      <c r="L17" s="63"/>
      <c r="M17" s="63"/>
      <c r="N17" s="63"/>
      <c r="O17" s="64"/>
      <c r="P17" s="69"/>
      <c r="Q17" s="56"/>
      <c r="R17" s="36"/>
      <c r="T17" s="66"/>
      <c r="U17" s="66"/>
      <c r="V17" s="66"/>
    </row>
    <row r="18" spans="1:22" ht="15" customHeight="1">
      <c r="A18" s="223" t="s">
        <v>134</v>
      </c>
      <c r="B18" s="50" t="s">
        <v>85</v>
      </c>
      <c r="C18" s="51">
        <v>30</v>
      </c>
      <c r="D18" s="52">
        <v>1160</v>
      </c>
      <c r="E18" s="52">
        <v>100</v>
      </c>
      <c r="F18" s="52">
        <v>0</v>
      </c>
      <c r="G18" s="52">
        <v>0</v>
      </c>
      <c r="H18" s="52">
        <v>0</v>
      </c>
      <c r="I18" s="52">
        <v>270</v>
      </c>
      <c r="J18" s="53">
        <v>110</v>
      </c>
      <c r="K18" s="54">
        <v>200</v>
      </c>
      <c r="L18" s="67">
        <v>15</v>
      </c>
      <c r="M18" s="67">
        <v>40</v>
      </c>
      <c r="N18" s="67">
        <v>2710</v>
      </c>
      <c r="O18" s="55">
        <v>4635</v>
      </c>
      <c r="P18" s="68">
        <v>-0.115458015267176</v>
      </c>
      <c r="Q18" s="162"/>
      <c r="R18" s="36"/>
      <c r="T18" s="57">
        <f>U18+V18</f>
        <v>5240</v>
      </c>
      <c r="U18" s="58">
        <v>2210</v>
      </c>
      <c r="V18" s="58">
        <v>3030</v>
      </c>
    </row>
    <row r="19" spans="1:22" ht="13.5" customHeight="1">
      <c r="A19" s="223"/>
      <c r="B19" s="59"/>
      <c r="C19" s="60"/>
      <c r="D19" s="61"/>
      <c r="E19" s="61"/>
      <c r="F19" s="61"/>
      <c r="G19" s="61"/>
      <c r="H19" s="61"/>
      <c r="I19" s="61"/>
      <c r="J19" s="61"/>
      <c r="K19" s="62"/>
      <c r="L19" s="63"/>
      <c r="M19" s="63"/>
      <c r="N19" s="63"/>
      <c r="O19" s="64"/>
      <c r="P19" s="69"/>
      <c r="Q19" s="192"/>
      <c r="T19" s="66"/>
      <c r="U19" s="66"/>
      <c r="V19" s="66"/>
    </row>
    <row r="20" spans="1:22" ht="15" customHeight="1">
      <c r="A20" s="223" t="s">
        <v>135</v>
      </c>
      <c r="B20" s="50" t="s">
        <v>85</v>
      </c>
      <c r="C20" s="51">
        <v>2110</v>
      </c>
      <c r="D20" s="52">
        <v>22310</v>
      </c>
      <c r="E20" s="52">
        <v>13450</v>
      </c>
      <c r="F20" s="52">
        <v>17025</v>
      </c>
      <c r="G20" s="52">
        <v>7670</v>
      </c>
      <c r="H20" s="52">
        <v>1585</v>
      </c>
      <c r="I20" s="52">
        <v>21000</v>
      </c>
      <c r="J20" s="53">
        <v>9200</v>
      </c>
      <c r="K20" s="54">
        <v>4800</v>
      </c>
      <c r="L20" s="67">
        <v>2000</v>
      </c>
      <c r="M20" s="67">
        <v>1400</v>
      </c>
      <c r="N20" s="67">
        <v>2330</v>
      </c>
      <c r="O20" s="55">
        <v>104880</v>
      </c>
      <c r="P20" s="68">
        <v>0.102143757881463</v>
      </c>
      <c r="Q20" s="162"/>
      <c r="R20" s="36"/>
      <c r="T20" s="57">
        <f>U20+V20</f>
        <v>95160</v>
      </c>
      <c r="U20" s="58">
        <v>84480</v>
      </c>
      <c r="V20" s="58">
        <v>10680</v>
      </c>
    </row>
    <row r="21" spans="1:22" ht="18.75" customHeight="1">
      <c r="A21" s="223"/>
      <c r="B21" s="59"/>
      <c r="C21" s="60">
        <v>44</v>
      </c>
      <c r="D21" s="61">
        <v>44</v>
      </c>
      <c r="E21" s="61">
        <v>48</v>
      </c>
      <c r="F21" s="61">
        <v>50</v>
      </c>
      <c r="G21" s="61">
        <v>48</v>
      </c>
      <c r="H21" s="61">
        <v>45.991167192429003</v>
      </c>
      <c r="I21" s="61">
        <v>50</v>
      </c>
      <c r="J21" s="61">
        <v>65</v>
      </c>
      <c r="K21" s="62">
        <v>47</v>
      </c>
      <c r="L21" s="63">
        <v>39</v>
      </c>
      <c r="M21" s="63">
        <v>35</v>
      </c>
      <c r="N21" s="63">
        <v>37.4420600858369</v>
      </c>
      <c r="O21" s="64">
        <v>48.629157131960298</v>
      </c>
      <c r="P21" s="65">
        <v>8.6270554085471396</v>
      </c>
      <c r="Q21" s="192"/>
      <c r="T21" s="66">
        <v>40</v>
      </c>
      <c r="U21" s="66"/>
      <c r="V21" s="66"/>
    </row>
    <row r="22" spans="1:22" ht="18.75" customHeight="1">
      <c r="A22" s="223" t="s">
        <v>136</v>
      </c>
      <c r="B22" s="50" t="s">
        <v>85</v>
      </c>
      <c r="C22" s="171">
        <v>140</v>
      </c>
      <c r="D22" s="172">
        <v>1120</v>
      </c>
      <c r="E22" s="172">
        <v>2000</v>
      </c>
      <c r="F22" s="172">
        <v>2200</v>
      </c>
      <c r="G22" s="172">
        <v>500</v>
      </c>
      <c r="H22" s="172">
        <v>65</v>
      </c>
      <c r="I22" s="172">
        <v>1180</v>
      </c>
      <c r="J22" s="172">
        <v>790</v>
      </c>
      <c r="K22" s="173">
        <v>800</v>
      </c>
      <c r="L22" s="174">
        <v>600</v>
      </c>
      <c r="M22" s="174">
        <v>200</v>
      </c>
      <c r="N22" s="174">
        <v>830</v>
      </c>
      <c r="O22" s="175">
        <v>10425</v>
      </c>
      <c r="P22" s="68">
        <v>2.8860028860029402E-3</v>
      </c>
      <c r="Q22" s="162"/>
      <c r="R22" s="36"/>
      <c r="T22" s="57">
        <f>U22+V22</f>
        <v>10395</v>
      </c>
      <c r="U22" s="58">
        <v>7995</v>
      </c>
      <c r="V22" s="58">
        <v>2400</v>
      </c>
    </row>
    <row r="23" spans="1:22" ht="18.75" customHeight="1">
      <c r="A23" s="223"/>
      <c r="B23" s="59"/>
      <c r="C23" s="60"/>
      <c r="D23" s="61"/>
      <c r="E23" s="61"/>
      <c r="F23" s="61"/>
      <c r="G23" s="61"/>
      <c r="H23" s="61"/>
      <c r="I23" s="61"/>
      <c r="J23" s="61"/>
      <c r="K23" s="62"/>
      <c r="L23" s="63"/>
      <c r="M23" s="63"/>
      <c r="N23" s="63"/>
      <c r="O23" s="64"/>
      <c r="P23" s="65"/>
      <c r="Q23" s="192"/>
      <c r="T23" s="66"/>
      <c r="U23" s="66"/>
      <c r="V23" s="66"/>
    </row>
    <row r="24" spans="1:22" ht="15" customHeight="1">
      <c r="A24" s="223" t="s">
        <v>137</v>
      </c>
      <c r="B24" s="50" t="s">
        <v>85</v>
      </c>
      <c r="C24" s="51">
        <v>190</v>
      </c>
      <c r="D24" s="52">
        <v>800</v>
      </c>
      <c r="E24" s="52">
        <v>400</v>
      </c>
      <c r="F24" s="52">
        <v>1500</v>
      </c>
      <c r="G24" s="52">
        <v>700</v>
      </c>
      <c r="H24" s="52">
        <v>130</v>
      </c>
      <c r="I24" s="52">
        <v>300</v>
      </c>
      <c r="J24" s="53">
        <v>400</v>
      </c>
      <c r="K24" s="54">
        <v>500</v>
      </c>
      <c r="L24" s="67">
        <v>230</v>
      </c>
      <c r="M24" s="67">
        <v>300</v>
      </c>
      <c r="N24" s="67">
        <v>2190</v>
      </c>
      <c r="O24" s="55">
        <v>7640</v>
      </c>
      <c r="P24" s="68">
        <v>-0.20870015535991701</v>
      </c>
      <c r="Q24" s="162"/>
      <c r="R24" s="36"/>
      <c r="T24" s="57">
        <f>U24+V24</f>
        <v>9655</v>
      </c>
      <c r="U24" s="58">
        <v>6395</v>
      </c>
      <c r="V24" s="58">
        <v>3260</v>
      </c>
    </row>
    <row r="25" spans="1:22" ht="13.5" customHeight="1">
      <c r="A25" s="223"/>
      <c r="B25" s="164"/>
      <c r="C25" s="165"/>
      <c r="D25" s="166"/>
      <c r="E25" s="166"/>
      <c r="F25" s="166"/>
      <c r="G25" s="166"/>
      <c r="H25" s="166"/>
      <c r="I25" s="166"/>
      <c r="J25" s="166"/>
      <c r="K25" s="167"/>
      <c r="L25" s="168"/>
      <c r="M25" s="168"/>
      <c r="N25" s="168"/>
      <c r="O25" s="169"/>
      <c r="P25" s="170"/>
      <c r="Q25" s="192"/>
      <c r="T25" s="66"/>
      <c r="U25" s="66"/>
      <c r="V25" s="66"/>
    </row>
    <row r="26" spans="1:22" ht="15" customHeight="1">
      <c r="A26" s="223" t="s">
        <v>138</v>
      </c>
      <c r="B26" s="50" t="s">
        <v>85</v>
      </c>
      <c r="C26" s="51">
        <v>1090</v>
      </c>
      <c r="D26" s="52">
        <v>8710</v>
      </c>
      <c r="E26" s="52">
        <v>2190</v>
      </c>
      <c r="F26" s="52">
        <v>6520</v>
      </c>
      <c r="G26" s="52">
        <v>2060</v>
      </c>
      <c r="H26" s="52">
        <v>3500</v>
      </c>
      <c r="I26" s="52">
        <v>7460</v>
      </c>
      <c r="J26" s="53">
        <v>2330</v>
      </c>
      <c r="K26" s="54">
        <v>700</v>
      </c>
      <c r="L26" s="67">
        <v>200</v>
      </c>
      <c r="M26" s="67">
        <v>300</v>
      </c>
      <c r="N26" s="67">
        <v>3660</v>
      </c>
      <c r="O26" s="55">
        <v>38720</v>
      </c>
      <c r="P26" s="68">
        <v>0.119884309472162</v>
      </c>
      <c r="Q26" s="162"/>
      <c r="R26" s="36"/>
      <c r="T26" s="57">
        <f>U26+V26</f>
        <v>34575</v>
      </c>
      <c r="U26" s="58">
        <v>29620</v>
      </c>
      <c r="V26" s="58">
        <v>4955</v>
      </c>
    </row>
    <row r="27" spans="1:22" ht="13.5" customHeight="1">
      <c r="A27" s="223"/>
      <c r="B27" s="59"/>
      <c r="C27" s="60"/>
      <c r="D27" s="61"/>
      <c r="E27" s="61"/>
      <c r="F27" s="61"/>
      <c r="G27" s="61"/>
      <c r="H27" s="61"/>
      <c r="I27" s="61"/>
      <c r="J27" s="61"/>
      <c r="K27" s="62"/>
      <c r="L27" s="63"/>
      <c r="M27" s="63"/>
      <c r="N27" s="63"/>
      <c r="O27" s="64"/>
      <c r="P27" s="65"/>
      <c r="Q27" s="192"/>
      <c r="T27" s="66"/>
      <c r="U27" s="66"/>
      <c r="V27" s="66"/>
    </row>
    <row r="28" spans="1:22" ht="15" customHeight="1">
      <c r="A28" s="223" t="s">
        <v>139</v>
      </c>
      <c r="B28" s="50" t="s">
        <v>85</v>
      </c>
      <c r="C28" s="51">
        <v>1450</v>
      </c>
      <c r="D28" s="52">
        <v>180</v>
      </c>
      <c r="E28" s="52">
        <v>9200</v>
      </c>
      <c r="F28" s="52">
        <v>23500</v>
      </c>
      <c r="G28" s="52">
        <v>1200</v>
      </c>
      <c r="H28" s="52">
        <v>15000</v>
      </c>
      <c r="I28" s="52">
        <v>3300</v>
      </c>
      <c r="J28" s="53">
        <v>8040</v>
      </c>
      <c r="K28" s="54">
        <v>200</v>
      </c>
      <c r="L28" s="67">
        <v>200</v>
      </c>
      <c r="M28" s="67">
        <v>50</v>
      </c>
      <c r="N28" s="163">
        <v>45</v>
      </c>
      <c r="O28" s="55">
        <v>62365</v>
      </c>
      <c r="P28" s="68">
        <v>-0.113050032710413</v>
      </c>
      <c r="Q28" s="192"/>
      <c r="T28" s="57">
        <f>U28+V28</f>
        <v>70314</v>
      </c>
      <c r="U28" s="58">
        <v>69692</v>
      </c>
      <c r="V28" s="58">
        <v>622</v>
      </c>
    </row>
    <row r="29" spans="1:22" ht="13.5" customHeight="1">
      <c r="A29" s="223"/>
      <c r="B29" s="59"/>
      <c r="C29" s="60"/>
      <c r="D29" s="61"/>
      <c r="E29" s="61"/>
      <c r="F29" s="61"/>
      <c r="G29" s="61"/>
      <c r="H29" s="61"/>
      <c r="I29" s="61"/>
      <c r="J29" s="61"/>
      <c r="K29" s="62"/>
      <c r="L29" s="63"/>
      <c r="M29" s="63"/>
      <c r="N29" s="63"/>
      <c r="O29" s="64"/>
      <c r="P29" s="65"/>
      <c r="Q29" s="192"/>
      <c r="T29" s="66"/>
      <c r="U29" s="66"/>
      <c r="V29" s="66"/>
    </row>
    <row r="30" spans="1:22" ht="13.5" customHeight="1">
      <c r="A30" s="223" t="s">
        <v>140</v>
      </c>
      <c r="B30" s="50" t="s">
        <v>85</v>
      </c>
      <c r="C30" s="51">
        <v>1000</v>
      </c>
      <c r="D30" s="52">
        <v>260</v>
      </c>
      <c r="E30" s="52">
        <v>8500</v>
      </c>
      <c r="F30" s="52">
        <v>10000</v>
      </c>
      <c r="G30" s="52">
        <v>350</v>
      </c>
      <c r="H30" s="52">
        <v>9000</v>
      </c>
      <c r="I30" s="52">
        <v>2990</v>
      </c>
      <c r="J30" s="53">
        <v>3500</v>
      </c>
      <c r="K30" s="54">
        <v>300</v>
      </c>
      <c r="L30" s="67">
        <v>50</v>
      </c>
      <c r="M30" s="67">
        <v>10</v>
      </c>
      <c r="N30" s="67">
        <v>5</v>
      </c>
      <c r="O30" s="55">
        <v>35965</v>
      </c>
      <c r="P30" s="68">
        <v>-0.116946572382636</v>
      </c>
      <c r="Q30" s="192"/>
      <c r="T30" s="57">
        <f>U30+V30</f>
        <v>40728</v>
      </c>
      <c r="U30" s="58">
        <v>40133</v>
      </c>
      <c r="V30" s="58">
        <v>595</v>
      </c>
    </row>
    <row r="31" spans="1:22" ht="13.5" customHeight="1">
      <c r="A31" s="223"/>
      <c r="B31" s="59"/>
      <c r="C31" s="60"/>
      <c r="D31" s="61"/>
      <c r="E31" s="61"/>
      <c r="F31" s="61"/>
      <c r="G31" s="61"/>
      <c r="H31" s="61"/>
      <c r="I31" s="61"/>
      <c r="J31" s="61"/>
      <c r="K31" s="62"/>
      <c r="L31" s="63"/>
      <c r="M31" s="63"/>
      <c r="N31" s="63"/>
      <c r="O31" s="64"/>
      <c r="P31" s="69"/>
      <c r="Q31" s="192"/>
      <c r="T31" s="66"/>
      <c r="U31" s="66"/>
      <c r="V31" s="66"/>
    </row>
    <row r="32" spans="1:22" ht="13.5" customHeight="1">
      <c r="A32" s="223" t="s">
        <v>141</v>
      </c>
      <c r="B32" s="50" t="s">
        <v>85</v>
      </c>
      <c r="C32" s="51">
        <v>3200</v>
      </c>
      <c r="D32" s="52">
        <v>390</v>
      </c>
      <c r="E32" s="52">
        <v>2220</v>
      </c>
      <c r="F32" s="52">
        <v>6500</v>
      </c>
      <c r="G32" s="52">
        <v>870</v>
      </c>
      <c r="H32" s="52">
        <v>250</v>
      </c>
      <c r="I32" s="52">
        <v>1800</v>
      </c>
      <c r="J32" s="53">
        <v>4800</v>
      </c>
      <c r="K32" s="54">
        <v>1500</v>
      </c>
      <c r="L32" s="67">
        <v>100</v>
      </c>
      <c r="M32" s="67">
        <v>350</v>
      </c>
      <c r="N32" s="67">
        <v>0</v>
      </c>
      <c r="O32" s="55">
        <v>21980</v>
      </c>
      <c r="P32" s="68">
        <v>-0.155589704187476</v>
      </c>
      <c r="Q32" s="192"/>
      <c r="T32" s="57">
        <f>U32+V32</f>
        <v>26030</v>
      </c>
      <c r="U32" s="58">
        <v>22810</v>
      </c>
      <c r="V32" s="58">
        <v>3220</v>
      </c>
    </row>
    <row r="33" spans="1:22" ht="13.5" customHeight="1">
      <c r="A33" s="223"/>
      <c r="B33" s="59"/>
      <c r="C33" s="60"/>
      <c r="D33" s="61"/>
      <c r="E33" s="61"/>
      <c r="F33" s="61"/>
      <c r="G33" s="61"/>
      <c r="H33" s="61"/>
      <c r="I33" s="61"/>
      <c r="J33" s="61"/>
      <c r="K33" s="62"/>
      <c r="L33" s="63"/>
      <c r="M33" s="63"/>
      <c r="N33" s="63"/>
      <c r="O33" s="64"/>
      <c r="P33" s="65"/>
      <c r="Q33" s="192"/>
      <c r="T33" s="66"/>
      <c r="U33" s="66"/>
      <c r="V33" s="66"/>
    </row>
    <row r="34" spans="1:22" ht="14.25" customHeight="1">
      <c r="A34" s="223" t="s">
        <v>142</v>
      </c>
      <c r="B34" s="50" t="s">
        <v>85</v>
      </c>
      <c r="C34" s="51">
        <v>310</v>
      </c>
      <c r="D34" s="52">
        <v>100</v>
      </c>
      <c r="E34" s="52">
        <v>5100</v>
      </c>
      <c r="F34" s="52">
        <v>3550</v>
      </c>
      <c r="G34" s="52">
        <v>590</v>
      </c>
      <c r="H34" s="52">
        <v>140</v>
      </c>
      <c r="I34" s="52">
        <v>2915</v>
      </c>
      <c r="J34" s="53">
        <v>3900</v>
      </c>
      <c r="K34" s="54">
        <v>1000</v>
      </c>
      <c r="L34" s="67">
        <v>250</v>
      </c>
      <c r="M34" s="67">
        <v>270</v>
      </c>
      <c r="N34" s="67">
        <v>5</v>
      </c>
      <c r="O34" s="55">
        <v>18130</v>
      </c>
      <c r="P34" s="68">
        <v>8.2905268187791106E-2</v>
      </c>
      <c r="Q34" s="192"/>
      <c r="T34" s="57">
        <f>U34+V34</f>
        <v>16742</v>
      </c>
      <c r="U34" s="58">
        <v>15310</v>
      </c>
      <c r="V34" s="58">
        <v>1432</v>
      </c>
    </row>
    <row r="35" spans="1:22" ht="19.5" customHeight="1">
      <c r="A35" s="223"/>
      <c r="B35" s="59"/>
      <c r="C35" s="60"/>
      <c r="D35" s="61"/>
      <c r="E35" s="61"/>
      <c r="F35" s="61"/>
      <c r="G35" s="61"/>
      <c r="H35" s="61"/>
      <c r="I35" s="61"/>
      <c r="J35" s="61"/>
      <c r="K35" s="62"/>
      <c r="L35" s="63"/>
      <c r="M35" s="63"/>
      <c r="N35" s="63"/>
      <c r="O35" s="64"/>
      <c r="P35" s="65"/>
      <c r="Q35" s="192"/>
      <c r="T35" s="66"/>
      <c r="U35" s="66"/>
      <c r="V35" s="66"/>
    </row>
    <row r="36" spans="1:22">
      <c r="A36" s="223" t="s">
        <v>143</v>
      </c>
      <c r="B36" s="50" t="s">
        <v>85</v>
      </c>
      <c r="C36" s="51">
        <v>1060</v>
      </c>
      <c r="D36" s="52">
        <v>1550</v>
      </c>
      <c r="E36" s="52">
        <v>11250</v>
      </c>
      <c r="F36" s="52">
        <v>6350</v>
      </c>
      <c r="G36" s="52">
        <v>460</v>
      </c>
      <c r="H36" s="52">
        <v>900</v>
      </c>
      <c r="I36" s="52">
        <v>4500</v>
      </c>
      <c r="J36" s="52">
        <v>3000</v>
      </c>
      <c r="K36" s="54">
        <v>2700</v>
      </c>
      <c r="L36" s="67">
        <v>1800</v>
      </c>
      <c r="M36" s="67">
        <v>350</v>
      </c>
      <c r="N36" s="67">
        <v>40</v>
      </c>
      <c r="O36" s="55">
        <v>33960</v>
      </c>
      <c r="P36" s="180">
        <v>-0.145875251509054</v>
      </c>
      <c r="Q36" s="36"/>
      <c r="R36" s="36"/>
      <c r="T36" s="57">
        <f>U36+V36</f>
        <v>39760</v>
      </c>
      <c r="U36" s="58">
        <v>35760</v>
      </c>
      <c r="V36" s="58">
        <v>4000</v>
      </c>
    </row>
    <row r="37" spans="1:22">
      <c r="A37" s="223"/>
      <c r="B37" s="164"/>
      <c r="C37" s="165">
        <v>23</v>
      </c>
      <c r="D37" s="166">
        <v>27</v>
      </c>
      <c r="E37" s="166">
        <v>30</v>
      </c>
      <c r="F37" s="166">
        <v>24</v>
      </c>
      <c r="G37" s="166">
        <v>24</v>
      </c>
      <c r="H37" s="166">
        <v>21</v>
      </c>
      <c r="I37" s="166">
        <v>27</v>
      </c>
      <c r="J37" s="166">
        <v>27</v>
      </c>
      <c r="K37" s="167">
        <v>27</v>
      </c>
      <c r="L37" s="168">
        <v>24</v>
      </c>
      <c r="M37" s="168">
        <v>19</v>
      </c>
      <c r="N37" s="168">
        <v>19</v>
      </c>
      <c r="O37" s="169">
        <v>26.857479387514701</v>
      </c>
      <c r="P37" s="170">
        <v>0.31748944787689498</v>
      </c>
      <c r="Q37" s="192"/>
      <c r="T37" s="66">
        <v>27</v>
      </c>
      <c r="U37" s="66"/>
      <c r="V37" s="66"/>
    </row>
    <row r="38" spans="1:22">
      <c r="A38" s="223" t="s">
        <v>144</v>
      </c>
      <c r="B38" s="50" t="s">
        <v>85</v>
      </c>
      <c r="C38" s="51">
        <v>4400</v>
      </c>
      <c r="D38" s="52">
        <v>1090</v>
      </c>
      <c r="E38" s="52">
        <v>51000</v>
      </c>
      <c r="F38" s="52">
        <v>66500</v>
      </c>
      <c r="G38" s="52">
        <v>3070</v>
      </c>
      <c r="H38" s="52">
        <v>5300</v>
      </c>
      <c r="I38" s="52">
        <v>28000</v>
      </c>
      <c r="J38" s="53">
        <v>27930</v>
      </c>
      <c r="K38" s="54">
        <v>19000</v>
      </c>
      <c r="L38" s="67">
        <v>2800</v>
      </c>
      <c r="M38" s="67">
        <v>670</v>
      </c>
      <c r="N38" s="67">
        <v>55</v>
      </c>
      <c r="O38" s="55">
        <v>209815</v>
      </c>
      <c r="P38" s="68">
        <v>-3.4267697689404401E-2</v>
      </c>
      <c r="Q38" s="192"/>
      <c r="T38" s="57">
        <f>U38+V38</f>
        <v>217260</v>
      </c>
      <c r="U38" s="58">
        <v>195355</v>
      </c>
      <c r="V38" s="58">
        <v>21905</v>
      </c>
    </row>
    <row r="39" spans="1:22">
      <c r="A39" s="223"/>
      <c r="B39" s="59"/>
      <c r="C39" s="60"/>
      <c r="D39" s="61"/>
      <c r="E39" s="61"/>
      <c r="F39" s="61"/>
      <c r="G39" s="61"/>
      <c r="H39" s="61"/>
      <c r="I39" s="61"/>
      <c r="J39" s="61"/>
      <c r="K39" s="62"/>
      <c r="L39" s="63"/>
      <c r="M39" s="63"/>
      <c r="N39" s="63"/>
      <c r="O39" s="64"/>
      <c r="P39" s="65"/>
      <c r="Q39" s="192"/>
      <c r="T39" s="66"/>
      <c r="U39" s="66"/>
      <c r="V39" s="66"/>
    </row>
    <row r="40" spans="1:22">
      <c r="A40" s="223" t="s">
        <v>145</v>
      </c>
      <c r="B40" s="50" t="s">
        <v>85</v>
      </c>
      <c r="C40" s="51">
        <v>650</v>
      </c>
      <c r="D40" s="52">
        <v>80</v>
      </c>
      <c r="E40" s="52">
        <v>8500</v>
      </c>
      <c r="F40" s="52">
        <v>31000</v>
      </c>
      <c r="G40" s="52">
        <v>570</v>
      </c>
      <c r="H40" s="52">
        <v>4500</v>
      </c>
      <c r="I40" s="52">
        <v>3200</v>
      </c>
      <c r="J40" s="53">
        <v>5000</v>
      </c>
      <c r="K40" s="54">
        <v>750</v>
      </c>
      <c r="L40" s="67">
        <v>5</v>
      </c>
      <c r="M40" s="67">
        <v>20</v>
      </c>
      <c r="N40" s="67">
        <v>0</v>
      </c>
      <c r="O40" s="55">
        <v>54275</v>
      </c>
      <c r="P40" s="68">
        <v>-6.1343433295285597E-2</v>
      </c>
      <c r="Q40" s="192"/>
      <c r="T40" s="57">
        <f>U40+V40+T46</f>
        <v>117728</v>
      </c>
      <c r="U40" s="58">
        <v>56255</v>
      </c>
      <c r="V40" s="58">
        <v>1567</v>
      </c>
    </row>
    <row r="41" spans="1:22">
      <c r="A41" s="223"/>
      <c r="B41" s="59"/>
      <c r="C41" s="60"/>
      <c r="D41" s="61"/>
      <c r="E41" s="61"/>
      <c r="F41" s="61"/>
      <c r="G41" s="61"/>
      <c r="H41" s="61"/>
      <c r="I41" s="61"/>
      <c r="J41" s="61"/>
      <c r="K41" s="62"/>
      <c r="L41" s="63"/>
      <c r="M41" s="63"/>
      <c r="N41" s="63"/>
      <c r="O41" s="64"/>
      <c r="P41" s="65"/>
      <c r="Q41" s="192"/>
      <c r="T41" s="66"/>
      <c r="U41" s="66"/>
      <c r="V41" s="66"/>
    </row>
    <row r="42" spans="1:22">
      <c r="A42" s="223" t="s">
        <v>146</v>
      </c>
      <c r="B42" s="50" t="s">
        <v>85</v>
      </c>
      <c r="C42" s="176">
        <v>400</v>
      </c>
      <c r="D42" s="177">
        <v>310</v>
      </c>
      <c r="E42" s="177">
        <v>1850</v>
      </c>
      <c r="F42" s="177">
        <v>4400</v>
      </c>
      <c r="G42" s="177">
        <v>250</v>
      </c>
      <c r="H42" s="177">
        <v>200</v>
      </c>
      <c r="I42" s="177">
        <v>2100</v>
      </c>
      <c r="J42" s="177">
        <v>1300</v>
      </c>
      <c r="K42" s="179">
        <v>700</v>
      </c>
      <c r="L42" s="178">
        <v>150</v>
      </c>
      <c r="M42" s="178">
        <v>200</v>
      </c>
      <c r="N42" s="178">
        <v>2</v>
      </c>
      <c r="O42" s="55">
        <v>11862</v>
      </c>
      <c r="P42" s="180">
        <v>8.1115566897557403E-2</v>
      </c>
      <c r="Q42" s="36"/>
      <c r="R42" s="36"/>
      <c r="T42" s="57">
        <f>U42+V42</f>
        <v>10972</v>
      </c>
      <c r="U42" s="58">
        <v>10040</v>
      </c>
      <c r="V42" s="58">
        <v>932</v>
      </c>
    </row>
    <row r="43" spans="1:22">
      <c r="A43" s="223"/>
      <c r="B43" s="59"/>
      <c r="C43" s="60"/>
      <c r="D43" s="61"/>
      <c r="E43" s="61"/>
      <c r="F43" s="61"/>
      <c r="G43" s="61"/>
      <c r="H43" s="61"/>
      <c r="I43" s="61"/>
      <c r="J43" s="61"/>
      <c r="K43" s="62"/>
      <c r="L43" s="63"/>
      <c r="M43" s="63"/>
      <c r="N43" s="63"/>
      <c r="O43" s="64"/>
      <c r="P43" s="65"/>
      <c r="Q43" s="192"/>
      <c r="T43" s="66"/>
      <c r="U43" s="66"/>
      <c r="V43" s="66"/>
    </row>
    <row r="44" spans="1:22">
      <c r="A44" s="223" t="s">
        <v>147</v>
      </c>
      <c r="B44" s="50" t="s">
        <v>85</v>
      </c>
      <c r="C44" s="176">
        <v>440</v>
      </c>
      <c r="D44" s="177">
        <v>160</v>
      </c>
      <c r="E44" s="177">
        <v>3200</v>
      </c>
      <c r="F44" s="177">
        <v>8000</v>
      </c>
      <c r="G44" s="177">
        <v>540</v>
      </c>
      <c r="H44" s="177">
        <v>600</v>
      </c>
      <c r="I44" s="177">
        <v>2500</v>
      </c>
      <c r="J44" s="177">
        <v>750</v>
      </c>
      <c r="K44" s="179">
        <v>1600</v>
      </c>
      <c r="L44" s="178">
        <v>100</v>
      </c>
      <c r="M44" s="178">
        <v>270</v>
      </c>
      <c r="N44" s="178">
        <v>35</v>
      </c>
      <c r="O44" s="55">
        <v>18195</v>
      </c>
      <c r="P44" s="180">
        <v>7.3134768504865805E-2</v>
      </c>
      <c r="Q44" s="36"/>
      <c r="R44" s="36"/>
      <c r="T44" s="57">
        <f>U44+V44</f>
        <v>16955</v>
      </c>
      <c r="U44" s="58">
        <v>14985</v>
      </c>
      <c r="V44" s="58">
        <v>1970</v>
      </c>
    </row>
    <row r="45" spans="1:22">
      <c r="A45" s="223"/>
      <c r="B45" s="164"/>
      <c r="C45" s="165"/>
      <c r="D45" s="166"/>
      <c r="E45" s="166"/>
      <c r="F45" s="166"/>
      <c r="G45" s="166"/>
      <c r="H45" s="166"/>
      <c r="I45" s="166"/>
      <c r="J45" s="166"/>
      <c r="K45" s="167"/>
      <c r="L45" s="168"/>
      <c r="M45" s="168"/>
      <c r="N45" s="168"/>
      <c r="O45" s="169"/>
      <c r="P45" s="170"/>
      <c r="Q45" s="192"/>
      <c r="T45" s="66"/>
      <c r="U45" s="66"/>
      <c r="V45" s="66"/>
    </row>
    <row r="46" spans="1:22" ht="13.15" customHeight="1">
      <c r="A46" s="223" t="s">
        <v>148</v>
      </c>
      <c r="B46" s="50" t="s">
        <v>85</v>
      </c>
      <c r="C46" s="51">
        <v>1500</v>
      </c>
      <c r="D46" s="52">
        <v>11570</v>
      </c>
      <c r="E46" s="52">
        <v>2593</v>
      </c>
      <c r="F46" s="52">
        <v>930</v>
      </c>
      <c r="G46" s="52">
        <v>2720</v>
      </c>
      <c r="H46" s="52">
        <v>1635</v>
      </c>
      <c r="I46" s="52">
        <v>4665</v>
      </c>
      <c r="J46" s="53">
        <v>1340</v>
      </c>
      <c r="K46" s="54">
        <v>300</v>
      </c>
      <c r="L46" s="67">
        <v>0</v>
      </c>
      <c r="M46" s="67">
        <v>15</v>
      </c>
      <c r="N46" s="67">
        <v>350</v>
      </c>
      <c r="O46" s="55">
        <v>27618</v>
      </c>
      <c r="P46" s="68">
        <v>-8.0105252639642993E-2</v>
      </c>
      <c r="Q46" s="192"/>
      <c r="T46" s="57">
        <f>U46+V46</f>
        <v>59906</v>
      </c>
      <c r="U46" s="58">
        <v>29358</v>
      </c>
      <c r="V46" s="58">
        <v>30548</v>
      </c>
    </row>
    <row r="47" spans="1:22">
      <c r="A47" s="223"/>
      <c r="B47" s="59"/>
      <c r="C47" s="60"/>
      <c r="D47" s="61"/>
      <c r="E47" s="61"/>
      <c r="F47" s="61"/>
      <c r="G47" s="61"/>
      <c r="H47" s="61"/>
      <c r="I47" s="61"/>
      <c r="J47" s="61"/>
      <c r="K47" s="62"/>
      <c r="L47" s="63"/>
      <c r="M47" s="63"/>
      <c r="N47" s="63"/>
      <c r="O47" s="64"/>
      <c r="P47" s="65"/>
      <c r="Q47" s="192"/>
      <c r="T47" s="66"/>
      <c r="U47" s="66"/>
      <c r="V47" s="66"/>
    </row>
    <row r="48" spans="1:22">
      <c r="A48" s="183" t="s">
        <v>86</v>
      </c>
    </row>
    <row r="49" spans="1:1">
      <c r="A49" s="183" t="s">
        <v>87</v>
      </c>
    </row>
  </sheetData>
  <sheetProtection selectLockedCells="1" selectUnlockedCells="1"/>
  <mergeCells count="19">
    <mergeCell ref="A32:A33"/>
    <mergeCell ref="A1:M1"/>
    <mergeCell ref="T12:V12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6:A47"/>
    <mergeCell ref="A34:A35"/>
    <mergeCell ref="A36:A37"/>
    <mergeCell ref="A38:A39"/>
    <mergeCell ref="A40:A41"/>
    <mergeCell ref="A42:A43"/>
    <mergeCell ref="A44:A45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7" zoomScale="83" zoomScaleNormal="83" workbookViewId="0">
      <selection activeCell="M19" sqref="M19:M23"/>
    </sheetView>
  </sheetViews>
  <sheetFormatPr baseColWidth="10" defaultColWidth="11" defaultRowHeight="12.75"/>
  <cols>
    <col min="1" max="1" width="11.28515625" style="75" customWidth="1"/>
    <col min="2" max="2" width="10.42578125" style="75" customWidth="1"/>
    <col min="3" max="4" width="11.140625" style="75" customWidth="1"/>
    <col min="5" max="5" width="10.85546875" style="75" customWidth="1"/>
    <col min="6" max="6" width="13.28515625" style="75" customWidth="1"/>
    <col min="7" max="10" width="11" style="75" customWidth="1"/>
    <col min="11" max="11" width="12" style="75" customWidth="1"/>
    <col min="12" max="13" width="11.28515625" style="75" customWidth="1"/>
    <col min="14" max="16384" width="11" style="75"/>
  </cols>
  <sheetData>
    <row r="6" spans="1:11" s="71" customFormat="1" ht="15">
      <c r="A6" s="70"/>
      <c r="B6" s="70"/>
    </row>
    <row r="7" spans="1:11" s="71" customFormat="1" ht="15">
      <c r="A7" s="70" t="s">
        <v>88</v>
      </c>
      <c r="B7" s="70"/>
    </row>
    <row r="9" spans="1:11" s="72" customFormat="1" ht="15">
      <c r="A9" s="242" t="s">
        <v>89</v>
      </c>
      <c r="B9" s="242"/>
      <c r="C9" s="242"/>
      <c r="D9" s="242"/>
      <c r="E9" s="242"/>
      <c r="F9" s="242"/>
      <c r="H9" s="73"/>
    </row>
    <row r="10" spans="1:11" s="72" customFormat="1" ht="12.75" customHeight="1" thickBot="1">
      <c r="C10" s="74"/>
      <c r="D10" s="74"/>
    </row>
    <row r="11" spans="1:11" s="72" customFormat="1" ht="14.65" customHeight="1" thickTop="1">
      <c r="A11" s="227" t="s">
        <v>105</v>
      </c>
      <c r="B11" s="237" t="s">
        <v>106</v>
      </c>
      <c r="C11" s="239" t="s">
        <v>90</v>
      </c>
      <c r="D11" s="239" t="s">
        <v>107</v>
      </c>
      <c r="E11" s="240" t="s">
        <v>108</v>
      </c>
      <c r="F11" s="79"/>
      <c r="G11" s="79"/>
      <c r="H11" s="79"/>
      <c r="I11" s="79"/>
      <c r="J11" s="79"/>
      <c r="K11" s="79"/>
    </row>
    <row r="12" spans="1:11" s="72" customFormat="1" ht="13.5" thickBot="1">
      <c r="A12" s="228"/>
      <c r="B12" s="238"/>
      <c r="C12" s="232"/>
      <c r="D12" s="232"/>
      <c r="E12" s="241"/>
      <c r="F12" s="79"/>
      <c r="G12" s="235"/>
      <c r="H12" s="235"/>
      <c r="I12" s="235"/>
      <c r="J12" s="79"/>
      <c r="K12" s="79"/>
    </row>
    <row r="13" spans="1:11" s="72" customFormat="1" ht="12" thickTop="1">
      <c r="A13" s="152" t="s">
        <v>91</v>
      </c>
      <c r="B13" s="153">
        <v>183.82179710144925</v>
      </c>
      <c r="C13" s="153">
        <v>207.88</v>
      </c>
      <c r="D13" s="153">
        <v>345.62</v>
      </c>
      <c r="E13" s="154">
        <f>D13/C13-1</f>
        <v>0.66259380411776037</v>
      </c>
      <c r="F13" s="79"/>
      <c r="G13" s="79"/>
      <c r="H13" s="79"/>
      <c r="I13" s="79"/>
      <c r="J13" s="79"/>
      <c r="K13" s="79"/>
    </row>
    <row r="14" spans="1:11" s="72" customFormat="1" ht="11.25">
      <c r="A14" s="155" t="s">
        <v>92</v>
      </c>
      <c r="B14" s="156">
        <v>190.68118181818184</v>
      </c>
      <c r="C14" s="156">
        <v>243.72</v>
      </c>
      <c r="D14" s="156">
        <v>330.32</v>
      </c>
      <c r="E14" s="157">
        <f t="shared" ref="E14:E24" si="0">D14/C14-1</f>
        <v>0.35532578368619716</v>
      </c>
      <c r="F14" s="79"/>
      <c r="G14" s="79"/>
      <c r="H14" s="79"/>
      <c r="I14" s="79"/>
      <c r="J14" s="79"/>
      <c r="K14" s="79"/>
    </row>
    <row r="15" spans="1:11" s="72" customFormat="1" ht="11.25">
      <c r="A15" s="155" t="s">
        <v>93</v>
      </c>
      <c r="B15" s="156">
        <v>190.36287748917749</v>
      </c>
      <c r="C15" s="156">
        <v>248.46</v>
      </c>
      <c r="D15" s="156">
        <v>333.7</v>
      </c>
      <c r="E15" s="157">
        <f t="shared" si="0"/>
        <v>0.34307333172341625</v>
      </c>
      <c r="F15" s="79"/>
      <c r="G15" s="79"/>
      <c r="H15" s="79"/>
      <c r="I15" s="79"/>
      <c r="J15" s="79"/>
      <c r="K15" s="79"/>
    </row>
    <row r="16" spans="1:11" s="72" customFormat="1" ht="11.25">
      <c r="A16" s="155" t="s">
        <v>94</v>
      </c>
      <c r="B16" s="156">
        <v>199.6507391304348</v>
      </c>
      <c r="C16" s="156">
        <v>270.04047619047623</v>
      </c>
      <c r="D16" s="156">
        <v>344.16</v>
      </c>
      <c r="E16" s="157">
        <f t="shared" si="0"/>
        <v>0.2744756077131294</v>
      </c>
      <c r="F16" s="79"/>
      <c r="G16" s="79"/>
      <c r="H16" s="79"/>
      <c r="I16" s="79"/>
      <c r="J16" s="79"/>
      <c r="K16" s="79"/>
    </row>
    <row r="17" spans="1:13" s="72" customFormat="1" ht="11.25">
      <c r="A17" s="155" t="s">
        <v>95</v>
      </c>
      <c r="B17" s="156">
        <v>205.48928822055137</v>
      </c>
      <c r="C17" s="156">
        <v>291.72750000000002</v>
      </c>
      <c r="D17" s="156">
        <v>325.29000000000002</v>
      </c>
      <c r="E17" s="157">
        <f t="shared" si="0"/>
        <v>0.1150474329639819</v>
      </c>
      <c r="F17" s="79"/>
      <c r="G17" s="79"/>
      <c r="H17" s="79"/>
      <c r="I17" s="79"/>
      <c r="J17" s="79"/>
      <c r="K17" s="79"/>
    </row>
    <row r="18" spans="1:13" s="72" customFormat="1" ht="11.25">
      <c r="A18" s="155" t="s">
        <v>96</v>
      </c>
      <c r="B18" s="156">
        <v>203.82390064102566</v>
      </c>
      <c r="C18" s="156">
        <v>280.73846153846154</v>
      </c>
      <c r="D18" s="156">
        <v>304.89</v>
      </c>
      <c r="E18" s="157">
        <f t="shared" si="0"/>
        <v>8.6028605874616249E-2</v>
      </c>
      <c r="F18" s="79"/>
      <c r="G18" s="79"/>
      <c r="H18" s="79"/>
      <c r="I18" s="79"/>
      <c r="J18" s="79"/>
      <c r="K18" s="79"/>
    </row>
    <row r="19" spans="1:13" s="74" customFormat="1" ht="12.95" customHeight="1">
      <c r="A19" s="155" t="s">
        <v>97</v>
      </c>
      <c r="B19" s="156">
        <v>207.21316883116879</v>
      </c>
      <c r="C19" s="156">
        <v>271.10857142857139</v>
      </c>
      <c r="D19" s="156">
        <v>291.33999999999997</v>
      </c>
      <c r="E19" s="157">
        <f t="shared" si="0"/>
        <v>7.4624820841413086E-2</v>
      </c>
      <c r="F19" s="80"/>
      <c r="G19" s="80"/>
      <c r="H19" s="80"/>
      <c r="I19" s="80"/>
      <c r="J19" s="80"/>
      <c r="K19" s="80"/>
    </row>
    <row r="20" spans="1:13" s="72" customFormat="1" ht="12.95" customHeight="1">
      <c r="A20" s="155" t="s">
        <v>98</v>
      </c>
      <c r="B20" s="156">
        <v>206.25450000000001</v>
      </c>
      <c r="C20" s="156">
        <v>270.84550000000002</v>
      </c>
      <c r="D20" s="156">
        <v>283.89</v>
      </c>
      <c r="E20" s="157">
        <f t="shared" si="0"/>
        <v>4.8162144100603266E-2</v>
      </c>
      <c r="F20" s="79"/>
      <c r="G20" s="79"/>
      <c r="H20" s="79"/>
      <c r="I20" s="79"/>
      <c r="J20" s="79"/>
      <c r="K20" s="79"/>
    </row>
    <row r="21" spans="1:13" s="72" customFormat="1" ht="12.95" customHeight="1">
      <c r="A21" s="155" t="s">
        <v>99</v>
      </c>
      <c r="B21" s="156">
        <v>223.60250479954829</v>
      </c>
      <c r="C21" s="156">
        <v>378.84565217391309</v>
      </c>
      <c r="D21" s="156">
        <v>259.35749999999996</v>
      </c>
      <c r="E21" s="157">
        <f t="shared" si="0"/>
        <v>-0.31540061628861149</v>
      </c>
      <c r="F21" s="79"/>
      <c r="G21" s="79"/>
      <c r="H21" s="79"/>
      <c r="I21" s="79"/>
      <c r="J21" s="79"/>
      <c r="K21" s="79"/>
      <c r="M21" s="243"/>
    </row>
    <row r="22" spans="1:13" s="72" customFormat="1" ht="12.95" customHeight="1">
      <c r="A22" s="155" t="s">
        <v>100</v>
      </c>
      <c r="B22" s="156">
        <v>226.62711278195488</v>
      </c>
      <c r="C22" s="156">
        <v>384.16437500000001</v>
      </c>
      <c r="D22" s="156">
        <v>241.6</v>
      </c>
      <c r="E22" s="157">
        <f t="shared" si="0"/>
        <v>-0.37110253911492963</v>
      </c>
      <c r="F22" s="79"/>
      <c r="G22" s="79"/>
      <c r="H22" s="79"/>
      <c r="I22" s="79"/>
      <c r="J22" s="79"/>
      <c r="K22" s="79"/>
    </row>
    <row r="23" spans="1:13" s="72" customFormat="1" ht="12.95" customHeight="1">
      <c r="A23" s="155" t="s">
        <v>101</v>
      </c>
      <c r="B23" s="156">
        <v>230.52179114452801</v>
      </c>
      <c r="C23" s="156">
        <v>402.49</v>
      </c>
      <c r="D23" s="156">
        <v>221.85</v>
      </c>
      <c r="E23" s="157">
        <f t="shared" si="0"/>
        <v>-0.44880618152003782</v>
      </c>
      <c r="F23" s="79"/>
      <c r="G23" s="79"/>
      <c r="H23" s="79"/>
      <c r="I23" s="79"/>
      <c r="J23" s="79"/>
      <c r="K23" s="79"/>
    </row>
    <row r="24" spans="1:13" s="72" customFormat="1" ht="12.95" customHeight="1" thickBot="1">
      <c r="A24" s="158" t="s">
        <v>102</v>
      </c>
      <c r="B24" s="159">
        <v>222.80943381146889</v>
      </c>
      <c r="C24" s="159">
        <v>382.88</v>
      </c>
      <c r="D24" s="159"/>
      <c r="E24" s="160">
        <f t="shared" si="0"/>
        <v>-1</v>
      </c>
      <c r="F24" s="79"/>
      <c r="G24" s="79"/>
      <c r="H24" s="79"/>
      <c r="I24" s="79"/>
      <c r="J24" s="79"/>
      <c r="K24" s="79"/>
    </row>
    <row r="25" spans="1:13" ht="13.5" thickTop="1">
      <c r="A25" s="81" t="s">
        <v>103</v>
      </c>
      <c r="B25" s="80"/>
      <c r="C25" s="81"/>
      <c r="D25" s="81"/>
      <c r="E25" s="81"/>
      <c r="F25" s="81"/>
      <c r="G25" s="81"/>
      <c r="H25" s="81"/>
      <c r="I25" s="81"/>
      <c r="J25" s="81"/>
      <c r="K25" s="81"/>
    </row>
    <row r="26" spans="1:13">
      <c r="A26" s="81"/>
      <c r="B26" s="81"/>
      <c r="C26" s="81"/>
      <c r="D26" s="81"/>
      <c r="E26" s="81"/>
      <c r="F26" s="81"/>
      <c r="G26" s="81" t="s">
        <v>103</v>
      </c>
      <c r="H26" s="81"/>
      <c r="I26" s="81"/>
      <c r="J26" s="81"/>
      <c r="K26" s="81"/>
    </row>
    <row r="27" spans="1:13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3" ht="15">
      <c r="A28" s="236" t="s">
        <v>104</v>
      </c>
      <c r="B28" s="236"/>
      <c r="C28" s="236"/>
      <c r="D28" s="236"/>
      <c r="E28" s="236"/>
      <c r="F28" s="81"/>
      <c r="G28" s="81"/>
      <c r="H28" s="81"/>
      <c r="I28" s="81"/>
      <c r="J28" s="81"/>
      <c r="K28" s="81"/>
    </row>
    <row r="29" spans="1:13" ht="13.5" thickBot="1">
      <c r="A29" s="79"/>
      <c r="B29" s="79"/>
      <c r="C29" s="80"/>
      <c r="D29" s="80"/>
      <c r="E29" s="79"/>
      <c r="F29" s="81"/>
      <c r="G29" s="81"/>
      <c r="H29" s="81"/>
      <c r="I29" s="81"/>
      <c r="J29" s="81"/>
      <c r="K29" s="81"/>
    </row>
    <row r="30" spans="1:13" ht="14.65" customHeight="1" thickTop="1">
      <c r="A30" s="227" t="s">
        <v>105</v>
      </c>
      <c r="B30" s="237" t="s">
        <v>106</v>
      </c>
      <c r="C30" s="239" t="s">
        <v>90</v>
      </c>
      <c r="D30" s="239" t="s">
        <v>107</v>
      </c>
      <c r="E30" s="240" t="s">
        <v>108</v>
      </c>
      <c r="F30" s="81"/>
      <c r="G30" s="81"/>
      <c r="H30" s="81"/>
      <c r="I30" s="81"/>
      <c r="J30" s="81"/>
      <c r="K30" s="81"/>
    </row>
    <row r="31" spans="1:13" ht="13.5" thickBot="1">
      <c r="A31" s="228"/>
      <c r="B31" s="238"/>
      <c r="C31" s="232"/>
      <c r="D31" s="232"/>
      <c r="E31" s="241"/>
      <c r="F31" s="81"/>
      <c r="G31" s="81"/>
      <c r="H31" s="81"/>
      <c r="I31" s="81"/>
      <c r="J31" s="81"/>
      <c r="K31" s="81"/>
    </row>
    <row r="32" spans="1:13" ht="13.5" thickTop="1">
      <c r="A32" s="152" t="s">
        <v>91</v>
      </c>
      <c r="B32" s="153">
        <v>258.8</v>
      </c>
      <c r="C32" s="153">
        <v>296.05</v>
      </c>
      <c r="D32" s="153"/>
      <c r="E32" s="154">
        <f t="shared" ref="E32:E43" si="1">D32/C32-1</f>
        <v>-1</v>
      </c>
      <c r="F32" s="82"/>
      <c r="G32" s="81"/>
      <c r="H32" s="81"/>
      <c r="I32" s="81"/>
      <c r="J32" s="81"/>
      <c r="K32" s="81"/>
    </row>
    <row r="33" spans="1:13">
      <c r="A33" s="155" t="s">
        <v>92</v>
      </c>
      <c r="B33" s="156">
        <v>253.07</v>
      </c>
      <c r="C33" s="156"/>
      <c r="D33" s="156"/>
      <c r="E33" s="157"/>
      <c r="F33" s="82"/>
      <c r="G33" s="81"/>
      <c r="H33" s="81"/>
      <c r="I33" s="81"/>
      <c r="J33" s="81"/>
      <c r="K33" s="81"/>
    </row>
    <row r="34" spans="1:13">
      <c r="A34" s="155" t="s">
        <v>93</v>
      </c>
      <c r="B34" s="156">
        <v>285.92</v>
      </c>
      <c r="C34" s="156">
        <v>439.7</v>
      </c>
      <c r="D34" s="156">
        <v>454.08</v>
      </c>
      <c r="E34" s="157">
        <f t="shared" si="1"/>
        <v>3.2704116443029285E-2</v>
      </c>
      <c r="F34" s="82"/>
      <c r="G34" s="81"/>
      <c r="H34" s="81"/>
      <c r="I34" s="81"/>
      <c r="J34" s="81"/>
      <c r="K34" s="81"/>
    </row>
    <row r="35" spans="1:13">
      <c r="A35" s="155" t="s">
        <v>94</v>
      </c>
      <c r="B35" s="156">
        <v>314.55</v>
      </c>
      <c r="C35" s="156">
        <v>480.37</v>
      </c>
      <c r="D35" s="156">
        <v>484.43</v>
      </c>
      <c r="E35" s="157">
        <f t="shared" si="1"/>
        <v>8.4518183899910948E-3</v>
      </c>
      <c r="F35" s="82"/>
      <c r="G35" s="81"/>
      <c r="H35" s="81"/>
      <c r="I35" s="81"/>
      <c r="J35" s="81"/>
      <c r="K35" s="81"/>
    </row>
    <row r="36" spans="1:13">
      <c r="A36" s="155" t="s">
        <v>95</v>
      </c>
      <c r="B36" s="156">
        <v>292.45</v>
      </c>
      <c r="C36" s="156">
        <v>478.67</v>
      </c>
      <c r="D36" s="156">
        <v>484.51</v>
      </c>
      <c r="E36" s="157">
        <f t="shared" si="1"/>
        <v>1.2200472141558949E-2</v>
      </c>
      <c r="F36" s="82"/>
      <c r="G36" s="81"/>
      <c r="H36" s="81"/>
      <c r="I36" s="81"/>
      <c r="J36" s="81"/>
      <c r="K36" s="81"/>
    </row>
    <row r="37" spans="1:13">
      <c r="A37" s="155" t="s">
        <v>96</v>
      </c>
      <c r="B37" s="156">
        <v>271.44</v>
      </c>
      <c r="C37" s="156">
        <v>472.7</v>
      </c>
      <c r="D37" s="156">
        <v>475.94</v>
      </c>
      <c r="E37" s="157">
        <f t="shared" si="1"/>
        <v>6.8542415908610099E-3</v>
      </c>
      <c r="F37" s="82"/>
      <c r="G37" s="81"/>
      <c r="H37" s="81"/>
      <c r="I37" s="81"/>
      <c r="J37" s="81"/>
      <c r="K37" s="81"/>
    </row>
    <row r="38" spans="1:13">
      <c r="A38" s="155" t="s">
        <v>97</v>
      </c>
      <c r="B38" s="156">
        <v>292.25</v>
      </c>
      <c r="C38" s="156">
        <v>474.9</v>
      </c>
      <c r="D38" s="156">
        <v>452.58</v>
      </c>
      <c r="E38" s="157"/>
      <c r="F38" s="82"/>
      <c r="G38" s="81"/>
      <c r="H38" s="81"/>
      <c r="I38" s="81"/>
      <c r="J38" s="81"/>
      <c r="K38" s="81"/>
    </row>
    <row r="39" spans="1:13">
      <c r="A39" s="155" t="s">
        <v>98</v>
      </c>
      <c r="B39" s="156">
        <v>285.35000000000002</v>
      </c>
      <c r="C39" s="156"/>
      <c r="D39" s="156">
        <v>436.46</v>
      </c>
      <c r="E39" s="157"/>
      <c r="F39" s="82"/>
      <c r="G39" s="81"/>
      <c r="H39" s="81"/>
      <c r="I39" s="81"/>
      <c r="J39" s="81"/>
      <c r="K39" s="81"/>
    </row>
    <row r="40" spans="1:13">
      <c r="A40" s="155" t="s">
        <v>99</v>
      </c>
      <c r="B40" s="156">
        <v>280.55</v>
      </c>
      <c r="C40" s="156">
        <v>435.5</v>
      </c>
      <c r="D40" s="156">
        <v>425.98</v>
      </c>
      <c r="E40" s="157">
        <f>D41/C40-1</f>
        <v>-6.1239954075774983E-2</v>
      </c>
      <c r="F40" s="82"/>
      <c r="G40" s="81"/>
      <c r="H40" s="81"/>
      <c r="I40" s="81"/>
      <c r="J40" s="81"/>
      <c r="K40" s="81"/>
    </row>
    <row r="41" spans="1:13">
      <c r="A41" s="155" t="s">
        <v>100</v>
      </c>
      <c r="B41" s="156">
        <v>280.07</v>
      </c>
      <c r="C41" s="156">
        <v>434.9</v>
      </c>
      <c r="D41" s="156">
        <v>408.83</v>
      </c>
      <c r="E41" s="157"/>
      <c r="F41" s="82"/>
      <c r="G41" s="81"/>
      <c r="H41" s="81"/>
      <c r="I41" s="81"/>
      <c r="J41" s="81"/>
      <c r="K41" s="81"/>
    </row>
    <row r="42" spans="1:13">
      <c r="A42" s="155" t="s">
        <v>101</v>
      </c>
      <c r="B42" s="156">
        <v>289.31400000000002</v>
      </c>
      <c r="C42" s="156"/>
      <c r="D42" s="156"/>
      <c r="E42" s="157" t="e">
        <f t="shared" si="1"/>
        <v>#DIV/0!</v>
      </c>
      <c r="F42" s="82"/>
      <c r="G42" s="81"/>
      <c r="H42" s="81"/>
      <c r="I42" s="81"/>
      <c r="J42" s="81"/>
      <c r="K42" s="81"/>
    </row>
    <row r="43" spans="1:13" ht="13.5" thickBot="1">
      <c r="A43" s="158" t="s">
        <v>102</v>
      </c>
      <c r="B43" s="159">
        <v>299.44</v>
      </c>
      <c r="C43" s="159">
        <v>528.09</v>
      </c>
      <c r="D43" s="159"/>
      <c r="E43" s="160">
        <f t="shared" si="1"/>
        <v>-1</v>
      </c>
      <c r="F43" s="82"/>
      <c r="G43" s="81"/>
      <c r="H43" s="81"/>
      <c r="I43" s="81"/>
      <c r="J43" s="81"/>
      <c r="K43" s="81"/>
    </row>
    <row r="44" spans="1:13" ht="13.5" thickTop="1">
      <c r="A44" s="81" t="s">
        <v>103</v>
      </c>
      <c r="B44" s="81"/>
      <c r="C44" s="81"/>
      <c r="D44" s="81"/>
      <c r="E44" s="81"/>
      <c r="F44" s="81"/>
      <c r="G44" s="81" t="s">
        <v>103</v>
      </c>
      <c r="H44" s="81"/>
      <c r="I44" s="81"/>
      <c r="J44" s="81"/>
      <c r="K44" s="81"/>
    </row>
    <row r="45" spans="1:13">
      <c r="A45" s="81"/>
      <c r="B45" s="83"/>
      <c r="C45" s="83"/>
      <c r="D45" s="83"/>
      <c r="E45" s="81"/>
      <c r="F45" s="81"/>
      <c r="G45" s="81"/>
      <c r="H45" s="81"/>
      <c r="I45" s="81"/>
      <c r="J45" s="81"/>
      <c r="K45" s="81"/>
    </row>
    <row r="46" spans="1:13" ht="15.75" customHeight="1">
      <c r="A46" s="81"/>
      <c r="B46" s="81"/>
      <c r="C46" s="84"/>
      <c r="D46" s="84"/>
      <c r="E46" s="84"/>
      <c r="F46" s="85"/>
      <c r="G46" s="85"/>
      <c r="H46" s="85"/>
      <c r="I46" s="85"/>
      <c r="J46" s="85"/>
      <c r="K46" s="85"/>
      <c r="L46" s="76"/>
      <c r="M46" s="76"/>
    </row>
    <row r="47" spans="1:13" s="72" customFormat="1" ht="15">
      <c r="A47" s="86" t="s">
        <v>109</v>
      </c>
      <c r="B47" s="87"/>
      <c r="C47" s="88"/>
      <c r="D47" s="88"/>
      <c r="E47" s="88"/>
      <c r="F47" s="89"/>
      <c r="G47" s="79"/>
      <c r="H47" s="79"/>
      <c r="I47" s="79"/>
      <c r="J47" s="79"/>
      <c r="K47" s="89"/>
      <c r="L47" s="77"/>
    </row>
    <row r="48" spans="1:13" s="72" customFormat="1" ht="12.75" customHeight="1" thickBot="1">
      <c r="A48" s="79"/>
      <c r="B48" s="79"/>
      <c r="C48" s="80"/>
      <c r="D48" s="80"/>
      <c r="E48" s="79"/>
      <c r="F48" s="226"/>
      <c r="G48" s="226"/>
      <c r="H48" s="226"/>
      <c r="I48" s="226"/>
      <c r="J48" s="226"/>
      <c r="K48" s="226"/>
      <c r="L48" s="78"/>
      <c r="M48" s="78"/>
    </row>
    <row r="49" spans="1:11" s="72" customFormat="1" ht="14.65" customHeight="1" thickTop="1">
      <c r="A49" s="227" t="s">
        <v>110</v>
      </c>
      <c r="B49" s="229" t="s">
        <v>106</v>
      </c>
      <c r="C49" s="231" t="s">
        <v>90</v>
      </c>
      <c r="D49" s="231" t="s">
        <v>107</v>
      </c>
      <c r="E49" s="233" t="s">
        <v>108</v>
      </c>
      <c r="F49" s="79"/>
      <c r="G49" s="79"/>
      <c r="H49" s="79"/>
      <c r="I49" s="79"/>
      <c r="J49" s="79"/>
      <c r="K49" s="79"/>
    </row>
    <row r="50" spans="1:11" s="72" customFormat="1" ht="12" thickBot="1">
      <c r="A50" s="228"/>
      <c r="B50" s="230"/>
      <c r="C50" s="232"/>
      <c r="D50" s="232"/>
      <c r="E50" s="234"/>
      <c r="F50" s="79"/>
      <c r="G50" s="79"/>
      <c r="H50" s="79"/>
      <c r="I50" s="79"/>
      <c r="J50" s="79"/>
      <c r="K50" s="79"/>
    </row>
    <row r="51" spans="1:11" s="72" customFormat="1" ht="12" thickTop="1">
      <c r="A51" s="90" t="s">
        <v>91</v>
      </c>
      <c r="B51" s="91">
        <v>169.69186261107311</v>
      </c>
      <c r="C51" s="91">
        <v>203.5</v>
      </c>
      <c r="D51" s="91">
        <v>325.08</v>
      </c>
      <c r="E51" s="92">
        <f>D51/C51-1</f>
        <v>0.59744471744471728</v>
      </c>
      <c r="F51" s="79"/>
      <c r="G51" s="79"/>
      <c r="H51" s="79"/>
      <c r="I51" s="79"/>
      <c r="J51" s="79"/>
      <c r="K51" s="79"/>
    </row>
    <row r="52" spans="1:11" s="72" customFormat="1" ht="11.25">
      <c r="A52" s="93" t="s">
        <v>92</v>
      </c>
      <c r="B52" s="94">
        <v>178.31247922077924</v>
      </c>
      <c r="C52" s="94">
        <v>214.38</v>
      </c>
      <c r="D52" s="94">
        <v>346.69</v>
      </c>
      <c r="E52" s="95">
        <f t="shared" ref="E52:E62" si="2">D52/C52-1</f>
        <v>0.61717510961843458</v>
      </c>
      <c r="F52" s="79"/>
      <c r="G52" s="79"/>
      <c r="H52" s="79"/>
      <c r="I52" s="79"/>
      <c r="J52" s="79"/>
      <c r="K52" s="79"/>
    </row>
    <row r="53" spans="1:11" s="72" customFormat="1" ht="11.25">
      <c r="A53" s="93" t="s">
        <v>93</v>
      </c>
      <c r="B53" s="94">
        <v>178.7964813852814</v>
      </c>
      <c r="C53" s="94">
        <v>222.7</v>
      </c>
      <c r="D53" s="94">
        <v>342.84</v>
      </c>
      <c r="E53" s="95">
        <f t="shared" si="2"/>
        <v>0.5394701392007184</v>
      </c>
      <c r="F53" s="79"/>
      <c r="G53" s="79"/>
      <c r="H53" s="79"/>
      <c r="I53" s="79"/>
      <c r="J53" s="79"/>
      <c r="K53" s="79"/>
    </row>
    <row r="54" spans="1:11" s="72" customFormat="1" ht="11.25">
      <c r="A54" s="93" t="s">
        <v>94</v>
      </c>
      <c r="B54" s="94">
        <v>189.36228778467913</v>
      </c>
      <c r="C54" s="94">
        <v>241.25</v>
      </c>
      <c r="D54" s="94">
        <v>348.44</v>
      </c>
      <c r="E54" s="95">
        <f t="shared" si="2"/>
        <v>0.44431088082901549</v>
      </c>
      <c r="F54" s="79"/>
      <c r="G54" s="79"/>
      <c r="H54" s="79"/>
      <c r="I54" s="79"/>
      <c r="J54" s="79"/>
      <c r="K54" s="79"/>
    </row>
    <row r="55" spans="1:11" s="72" customFormat="1" ht="11.25">
      <c r="A55" s="93" t="s">
        <v>95</v>
      </c>
      <c r="B55" s="94">
        <v>194.47630802005011</v>
      </c>
      <c r="C55" s="94">
        <v>252.47</v>
      </c>
      <c r="D55" s="94">
        <v>325.89999999999998</v>
      </c>
      <c r="E55" s="95">
        <f t="shared" si="2"/>
        <v>0.29084643720045933</v>
      </c>
      <c r="F55" s="79"/>
      <c r="G55" s="79"/>
      <c r="H55" s="79"/>
      <c r="I55" s="79"/>
      <c r="J55" s="79"/>
      <c r="K55" s="79"/>
    </row>
    <row r="56" spans="1:11" s="72" customFormat="1" ht="11.25">
      <c r="A56" s="93" t="s">
        <v>96</v>
      </c>
      <c r="B56" s="94">
        <v>191.73595833333334</v>
      </c>
      <c r="C56" s="94">
        <v>249.72</v>
      </c>
      <c r="D56" s="94">
        <v>296.52</v>
      </c>
      <c r="E56" s="95">
        <f t="shared" si="2"/>
        <v>0.18740989908697725</v>
      </c>
      <c r="F56" s="79"/>
      <c r="G56" s="79"/>
      <c r="H56" s="79"/>
      <c r="I56" s="79"/>
      <c r="J56" s="79"/>
      <c r="K56" s="79"/>
    </row>
    <row r="57" spans="1:11" s="74" customFormat="1" ht="12.95" customHeight="1">
      <c r="A57" s="93" t="s">
        <v>97</v>
      </c>
      <c r="B57" s="94">
        <v>194.06306079592923</v>
      </c>
      <c r="C57" s="94">
        <v>251.08</v>
      </c>
      <c r="D57" s="94">
        <v>291.83999999999997</v>
      </c>
      <c r="E57" s="95">
        <f t="shared" si="2"/>
        <v>0.16233869682969559</v>
      </c>
      <c r="F57" s="80"/>
      <c r="G57" s="80"/>
      <c r="H57" s="80"/>
      <c r="I57" s="80"/>
      <c r="J57" s="80"/>
      <c r="K57" s="80"/>
    </row>
    <row r="58" spans="1:11" s="72" customFormat="1" ht="12.95" customHeight="1">
      <c r="A58" s="93" t="s">
        <v>98</v>
      </c>
      <c r="B58" s="94">
        <v>192.13846797385622</v>
      </c>
      <c r="C58" s="94">
        <v>261.27999999999997</v>
      </c>
      <c r="D58" s="94">
        <v>301.8</v>
      </c>
      <c r="E58" s="95">
        <f t="shared" si="2"/>
        <v>0.15508266993263953</v>
      </c>
      <c r="F58" s="79"/>
      <c r="G58" s="79"/>
      <c r="H58" s="79"/>
      <c r="I58" s="79"/>
      <c r="J58" s="79"/>
      <c r="K58" s="79"/>
    </row>
    <row r="59" spans="1:11" s="72" customFormat="1" ht="12.95" customHeight="1">
      <c r="A59" s="93" t="s">
        <v>99</v>
      </c>
      <c r="B59" s="94">
        <v>211.85440993788819</v>
      </c>
      <c r="C59" s="94">
        <v>361.98</v>
      </c>
      <c r="D59" s="94">
        <v>279.04000000000002</v>
      </c>
      <c r="E59" s="95">
        <f t="shared" si="2"/>
        <v>-0.22912868114260454</v>
      </c>
      <c r="F59" s="79"/>
      <c r="G59" s="79"/>
      <c r="H59" s="79"/>
      <c r="I59" s="79"/>
      <c r="J59" s="79"/>
      <c r="K59" s="79"/>
    </row>
    <row r="60" spans="1:11" s="72" customFormat="1" ht="12.95" customHeight="1">
      <c r="A60" s="93" t="s">
        <v>100</v>
      </c>
      <c r="B60" s="94">
        <v>210.47382499999998</v>
      </c>
      <c r="C60" s="94">
        <v>347.21</v>
      </c>
      <c r="D60" s="94">
        <v>258.83</v>
      </c>
      <c r="E60" s="95">
        <f t="shared" si="2"/>
        <v>-0.25454335992626942</v>
      </c>
      <c r="F60" s="79"/>
      <c r="G60" s="79"/>
      <c r="H60" s="79"/>
      <c r="I60" s="79"/>
      <c r="J60" s="79"/>
      <c r="K60" s="79"/>
    </row>
    <row r="61" spans="1:11" s="72" customFormat="1" ht="12.95" customHeight="1">
      <c r="A61" s="93" t="s">
        <v>101</v>
      </c>
      <c r="B61" s="94">
        <v>210.60489718614718</v>
      </c>
      <c r="C61" s="94">
        <v>365.06</v>
      </c>
      <c r="D61" s="94">
        <v>232.87</v>
      </c>
      <c r="E61" s="95">
        <f t="shared" si="2"/>
        <v>-0.36210485947515481</v>
      </c>
      <c r="F61" s="79"/>
      <c r="G61" s="79"/>
      <c r="H61" s="79"/>
      <c r="I61" s="79"/>
      <c r="J61" s="79"/>
      <c r="K61" s="79"/>
    </row>
    <row r="62" spans="1:11" s="72" customFormat="1" ht="12.95" customHeight="1" thickBot="1">
      <c r="A62" s="96" t="s">
        <v>102</v>
      </c>
      <c r="B62" s="97">
        <v>168.59603497379814</v>
      </c>
      <c r="C62" s="97">
        <v>325.67</v>
      </c>
      <c r="D62" s="97"/>
      <c r="E62" s="98">
        <f t="shared" si="2"/>
        <v>-1</v>
      </c>
      <c r="F62" s="79"/>
      <c r="G62" s="79"/>
      <c r="H62" s="79"/>
      <c r="I62" s="81"/>
      <c r="J62" s="79"/>
      <c r="K62" s="79"/>
    </row>
    <row r="63" spans="1:11" ht="13.5" thickTop="1">
      <c r="A63" s="81" t="s">
        <v>103</v>
      </c>
      <c r="B63" s="80"/>
      <c r="C63" s="81"/>
      <c r="D63" s="81"/>
      <c r="E63" s="81"/>
      <c r="F63" s="81"/>
      <c r="G63" s="81" t="s">
        <v>103</v>
      </c>
      <c r="H63" s="81"/>
      <c r="I63" s="81"/>
      <c r="J63" s="81"/>
      <c r="K63" s="81"/>
    </row>
    <row r="64" spans="1:1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1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1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1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</sheetData>
  <sheetProtection selectLockedCells="1" selectUnlockedCells="1"/>
  <mergeCells count="19">
    <mergeCell ref="A9:F9"/>
    <mergeCell ref="A11:A12"/>
    <mergeCell ref="B11:B12"/>
    <mergeCell ref="C11:C12"/>
    <mergeCell ref="D11:D12"/>
    <mergeCell ref="E11:E12"/>
    <mergeCell ref="G12:I12"/>
    <mergeCell ref="A28:E28"/>
    <mergeCell ref="A30:A31"/>
    <mergeCell ref="B30:B31"/>
    <mergeCell ref="C30:C31"/>
    <mergeCell ref="D30:D31"/>
    <mergeCell ref="E30:E31"/>
    <mergeCell ref="F48:K48"/>
    <mergeCell ref="A49:A50"/>
    <mergeCell ref="B49:B50"/>
    <mergeCell ref="C49:C50"/>
    <mergeCell ref="D49:D50"/>
    <mergeCell ref="E49:E5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opLeftCell="A10" workbookViewId="0">
      <selection activeCell="D31" sqref="D31"/>
    </sheetView>
  </sheetViews>
  <sheetFormatPr baseColWidth="10" defaultColWidth="11.5703125" defaultRowHeight="12.75"/>
  <cols>
    <col min="1" max="16384" width="11.5703125" style="101"/>
  </cols>
  <sheetData>
    <row r="1" spans="1:18" ht="15">
      <c r="A1" s="99" t="s">
        <v>111</v>
      </c>
      <c r="B1" s="100"/>
      <c r="C1" s="100"/>
      <c r="D1" s="100"/>
      <c r="E1" s="100"/>
    </row>
    <row r="2" spans="1:18" ht="13.5" thickBot="1">
      <c r="A2" s="100"/>
      <c r="B2" s="100"/>
      <c r="C2" s="100"/>
      <c r="D2" s="100"/>
      <c r="E2" s="100"/>
    </row>
    <row r="3" spans="1:18" ht="30" customHeight="1" thickTop="1">
      <c r="A3" s="227" t="s">
        <v>110</v>
      </c>
      <c r="B3" s="229" t="s">
        <v>106</v>
      </c>
      <c r="C3" s="231" t="s">
        <v>90</v>
      </c>
      <c r="D3" s="231" t="s">
        <v>107</v>
      </c>
      <c r="E3" s="233" t="s">
        <v>112</v>
      </c>
    </row>
    <row r="4" spans="1:18" ht="13.5" thickBot="1">
      <c r="A4" s="228" t="s">
        <v>91</v>
      </c>
      <c r="B4" s="230">
        <v>395.50833333333333</v>
      </c>
      <c r="C4" s="232">
        <v>533.66666666666663</v>
      </c>
      <c r="D4" s="232">
        <v>652.33000000000004</v>
      </c>
      <c r="E4" s="234">
        <f t="shared" ref="E4:E15" si="0">D4/C4-1</f>
        <v>0.22235477826358552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3.5" thickTop="1">
      <c r="A5" s="90" t="s">
        <v>92</v>
      </c>
      <c r="B5" s="91">
        <v>407.18333333333334</v>
      </c>
      <c r="C5" s="91">
        <v>558</v>
      </c>
      <c r="D5" s="91">
        <v>628.5</v>
      </c>
      <c r="E5" s="92">
        <f t="shared" si="0"/>
        <v>0.12634408602150549</v>
      </c>
    </row>
    <row r="6" spans="1:18">
      <c r="A6" s="93" t="s">
        <v>93</v>
      </c>
      <c r="B6" s="94">
        <v>417.92500000000001</v>
      </c>
      <c r="C6" s="94">
        <v>604</v>
      </c>
      <c r="D6" s="94">
        <v>598.70000000000005</v>
      </c>
      <c r="E6" s="95">
        <f t="shared" si="0"/>
        <v>-8.7748344370860432E-3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8">
      <c r="A7" s="93" t="s">
        <v>94</v>
      </c>
      <c r="B7" s="94">
        <v>433.32499999999999</v>
      </c>
      <c r="C7" s="94">
        <v>669.375</v>
      </c>
      <c r="D7" s="94">
        <v>627.38</v>
      </c>
      <c r="E7" s="95">
        <f t="shared" si="0"/>
        <v>-6.2737628384687216E-2</v>
      </c>
    </row>
    <row r="8" spans="1:18">
      <c r="A8" s="93" t="s">
        <v>95</v>
      </c>
      <c r="B8" s="94">
        <v>446.62333333333333</v>
      </c>
      <c r="C8" s="94">
        <v>695.66666666666663</v>
      </c>
      <c r="D8" s="94">
        <v>617</v>
      </c>
      <c r="E8" s="95">
        <f t="shared" si="0"/>
        <v>-0.11308097747963575</v>
      </c>
    </row>
    <row r="9" spans="1:18">
      <c r="A9" s="93" t="s">
        <v>96</v>
      </c>
      <c r="B9" s="94">
        <v>442.73333333333341</v>
      </c>
      <c r="C9" s="94">
        <v>683.33333333333337</v>
      </c>
      <c r="D9" s="94">
        <v>572.66999999999996</v>
      </c>
      <c r="E9" s="95">
        <f t="shared" si="0"/>
        <v>-0.16194634146341469</v>
      </c>
    </row>
    <row r="10" spans="1:18">
      <c r="A10" s="93" t="s">
        <v>97</v>
      </c>
      <c r="B10" s="94">
        <v>456.5</v>
      </c>
      <c r="C10" s="94">
        <v>734</v>
      </c>
      <c r="D10" s="94">
        <v>548.88</v>
      </c>
      <c r="E10" s="95">
        <f t="shared" si="0"/>
        <v>-0.25220708446866491</v>
      </c>
    </row>
    <row r="11" spans="1:18">
      <c r="A11" s="93" t="s">
        <v>98</v>
      </c>
      <c r="B11" s="94">
        <v>455.25</v>
      </c>
      <c r="C11" s="94">
        <v>727.25</v>
      </c>
      <c r="D11" s="94">
        <v>541.25</v>
      </c>
      <c r="E11" s="95">
        <f t="shared" si="0"/>
        <v>-0.25575799243726371</v>
      </c>
    </row>
    <row r="12" spans="1:18">
      <c r="A12" s="93" t="s">
        <v>99</v>
      </c>
      <c r="B12" s="94">
        <v>528.125</v>
      </c>
      <c r="C12" s="94">
        <v>910.2</v>
      </c>
      <c r="D12" s="94">
        <v>471.1</v>
      </c>
      <c r="E12" s="95">
        <f t="shared" si="0"/>
        <v>-0.48242144583607993</v>
      </c>
    </row>
    <row r="13" spans="1:18">
      <c r="A13" s="93" t="s">
        <v>100</v>
      </c>
      <c r="B13" s="94">
        <v>511.86666666666662</v>
      </c>
      <c r="C13" s="94">
        <v>1008.5</v>
      </c>
      <c r="D13" s="94">
        <v>427.17</v>
      </c>
      <c r="E13" s="95">
        <f t="shared" si="0"/>
        <v>-0.57643034209221611</v>
      </c>
    </row>
    <row r="14" spans="1:18">
      <c r="A14" s="93" t="s">
        <v>101</v>
      </c>
      <c r="B14" s="94">
        <v>485.41666666666669</v>
      </c>
      <c r="C14" s="94">
        <v>836.5</v>
      </c>
      <c r="D14" s="94">
        <v>416.17</v>
      </c>
      <c r="E14" s="95">
        <f t="shared" si="0"/>
        <v>-0.50248655110579787</v>
      </c>
    </row>
    <row r="15" spans="1:18" ht="13.5" thickBot="1">
      <c r="A15" s="96" t="s">
        <v>102</v>
      </c>
      <c r="B15" s="97">
        <v>458.39</v>
      </c>
      <c r="C15" s="97">
        <v>744</v>
      </c>
      <c r="D15" s="97"/>
      <c r="E15" s="98">
        <f t="shared" si="0"/>
        <v>-1</v>
      </c>
    </row>
    <row r="16" spans="1:18" ht="13.5" thickTop="1">
      <c r="A16" s="100" t="s">
        <v>103</v>
      </c>
      <c r="B16" s="103"/>
      <c r="C16" s="100"/>
      <c r="D16" s="100"/>
      <c r="E16" s="100"/>
    </row>
    <row r="17" spans="1:17">
      <c r="A17" s="100"/>
      <c r="B17" s="100"/>
      <c r="C17" s="100"/>
      <c r="D17" s="100"/>
      <c r="E17" s="100"/>
    </row>
    <row r="18" spans="1:17" ht="15">
      <c r="A18" s="99" t="s">
        <v>113</v>
      </c>
      <c r="B18" s="100"/>
      <c r="C18" s="100"/>
      <c r="D18" s="100"/>
      <c r="E18" s="100"/>
    </row>
    <row r="19" spans="1:17" ht="13.5" thickBot="1">
      <c r="A19" s="100"/>
      <c r="B19" s="100"/>
      <c r="C19" s="100"/>
      <c r="D19" s="100"/>
      <c r="E19" s="100"/>
    </row>
    <row r="20" spans="1:17" ht="31.9" customHeight="1" thickTop="1">
      <c r="A20" s="227" t="s">
        <v>110</v>
      </c>
      <c r="B20" s="237" t="s">
        <v>114</v>
      </c>
      <c r="C20" s="239" t="s">
        <v>115</v>
      </c>
      <c r="D20" s="239" t="s">
        <v>90</v>
      </c>
      <c r="E20" s="240" t="s">
        <v>112</v>
      </c>
    </row>
    <row r="21" spans="1:17" ht="13.5" thickBot="1">
      <c r="A21" s="228" t="s">
        <v>91</v>
      </c>
      <c r="B21" s="238">
        <v>357.16666666666663</v>
      </c>
      <c r="C21" s="232">
        <v>478.33333333333331</v>
      </c>
      <c r="D21" s="232">
        <v>636.66999999999996</v>
      </c>
      <c r="E21" s="241">
        <v>510</v>
      </c>
    </row>
    <row r="22" spans="1:17" ht="13.5" thickTop="1">
      <c r="A22" s="152" t="s">
        <v>92</v>
      </c>
      <c r="B22" s="153">
        <v>365.6</v>
      </c>
      <c r="C22" s="153">
        <v>510</v>
      </c>
      <c r="D22" s="153">
        <v>642.5</v>
      </c>
      <c r="E22" s="154">
        <f t="shared" ref="E22:E32" si="1">D22/C22-1</f>
        <v>0.25980392156862742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>
      <c r="A23" s="155" t="s">
        <v>93</v>
      </c>
      <c r="B23" s="156">
        <v>374.05</v>
      </c>
      <c r="C23" s="156">
        <v>536</v>
      </c>
      <c r="D23" s="156">
        <v>585</v>
      </c>
      <c r="E23" s="157">
        <f t="shared" si="1"/>
        <v>9.1417910447761264E-2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>
      <c r="A24" s="155" t="s">
        <v>94</v>
      </c>
      <c r="B24" s="156">
        <v>392</v>
      </c>
      <c r="C24" s="156">
        <v>603.75</v>
      </c>
      <c r="D24" s="156">
        <v>639.38</v>
      </c>
      <c r="E24" s="157">
        <f t="shared" si="1"/>
        <v>5.9014492753623138E-2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>
      <c r="A25" s="155" t="s">
        <v>95</v>
      </c>
      <c r="B25" s="156">
        <v>404.65333333333331</v>
      </c>
      <c r="C25" s="156">
        <v>601.66666666666663</v>
      </c>
      <c r="D25" s="156">
        <v>635</v>
      </c>
      <c r="E25" s="157">
        <f t="shared" si="1"/>
        <v>5.5401662049861633E-2</v>
      </c>
    </row>
    <row r="26" spans="1:17">
      <c r="A26" s="155" t="s">
        <v>96</v>
      </c>
      <c r="B26" s="156">
        <v>401.5</v>
      </c>
      <c r="C26" s="156">
        <v>536.66666666666663</v>
      </c>
      <c r="D26" s="156">
        <v>578.33000000000004</v>
      </c>
      <c r="E26" s="157">
        <f t="shared" si="1"/>
        <v>7.7633540372670895E-2</v>
      </c>
    </row>
    <row r="27" spans="1:17">
      <c r="A27" s="155" t="s">
        <v>97</v>
      </c>
      <c r="B27" s="156">
        <v>414.3</v>
      </c>
      <c r="C27" s="156">
        <v>580</v>
      </c>
      <c r="D27" s="156">
        <v>562.5</v>
      </c>
      <c r="E27" s="157">
        <f t="shared" si="1"/>
        <v>-3.0172413793103425E-2</v>
      </c>
    </row>
    <row r="28" spans="1:17">
      <c r="A28" s="155" t="s">
        <v>98</v>
      </c>
      <c r="B28" s="156">
        <v>423.9</v>
      </c>
      <c r="C28" s="156">
        <v>611.25</v>
      </c>
      <c r="D28" s="156">
        <v>560</v>
      </c>
      <c r="E28" s="157">
        <f t="shared" si="1"/>
        <v>-8.3844580777096112E-2</v>
      </c>
    </row>
    <row r="29" spans="1:17">
      <c r="A29" s="155" t="s">
        <v>99</v>
      </c>
      <c r="B29" s="156">
        <v>514.38750000000005</v>
      </c>
      <c r="C29" s="156">
        <v>862</v>
      </c>
      <c r="D29" s="156">
        <v>477.5</v>
      </c>
      <c r="E29" s="157">
        <f t="shared" si="1"/>
        <v>-0.44605568445475641</v>
      </c>
    </row>
    <row r="30" spans="1:17">
      <c r="A30" s="155" t="s">
        <v>100</v>
      </c>
      <c r="B30" s="156">
        <v>455.9</v>
      </c>
      <c r="C30" s="156">
        <v>853.75</v>
      </c>
      <c r="D30" s="156">
        <v>458.13</v>
      </c>
      <c r="E30" s="157">
        <f t="shared" si="1"/>
        <v>-0.4633909224011713</v>
      </c>
    </row>
    <row r="31" spans="1:17">
      <c r="A31" s="155" t="s">
        <v>101</v>
      </c>
      <c r="B31" s="156">
        <v>458.5</v>
      </c>
      <c r="C31" s="156">
        <v>820</v>
      </c>
      <c r="D31" s="156">
        <v>431.67</v>
      </c>
      <c r="E31" s="157">
        <f t="shared" si="1"/>
        <v>-0.47357317073170735</v>
      </c>
    </row>
    <row r="32" spans="1:17" ht="13.5" thickBot="1">
      <c r="A32" s="158" t="s">
        <v>102</v>
      </c>
      <c r="B32" s="159">
        <v>430.25</v>
      </c>
      <c r="C32" s="159">
        <v>680</v>
      </c>
      <c r="D32" s="159"/>
      <c r="E32" s="160">
        <f t="shared" si="1"/>
        <v>-1</v>
      </c>
    </row>
    <row r="33" spans="1:5" ht="13.5" thickTop="1">
      <c r="A33" s="100" t="s">
        <v>103</v>
      </c>
      <c r="B33" s="103"/>
      <c r="C33" s="100"/>
      <c r="D33" s="100"/>
      <c r="E33" s="100"/>
    </row>
  </sheetData>
  <mergeCells count="10">
    <mergeCell ref="A20:A21"/>
    <mergeCell ref="B20:B21"/>
    <mergeCell ref="C20:C21"/>
    <mergeCell ref="D20:D21"/>
    <mergeCell ref="E20:E2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zoomScale="90" zoomScaleNormal="90" workbookViewId="0">
      <selection activeCell="E16" sqref="E16"/>
    </sheetView>
  </sheetViews>
  <sheetFormatPr baseColWidth="10" defaultColWidth="11.5703125" defaultRowHeight="12" customHeight="1"/>
  <cols>
    <col min="1" max="1" width="20" style="105" customWidth="1"/>
    <col min="2" max="11" width="7.7109375" style="106" customWidth="1"/>
    <col min="12" max="12" width="10.28515625" style="106" customWidth="1"/>
    <col min="13" max="13" width="6.7109375" style="109" customWidth="1"/>
    <col min="14" max="14" width="10.7109375" style="109" customWidth="1"/>
    <col min="15" max="15" width="7.7109375" style="109" customWidth="1"/>
    <col min="16" max="16" width="6.28515625" style="109" customWidth="1"/>
    <col min="17" max="17" width="5.5703125" style="106" customWidth="1"/>
    <col min="18" max="18" width="7" style="106" customWidth="1"/>
    <col min="19" max="19" width="6" style="106" customWidth="1"/>
    <col min="20" max="20" width="6.7109375" style="106" customWidth="1"/>
    <col min="21" max="21" width="8" style="108" customWidth="1"/>
    <col min="22" max="22" width="7.7109375" style="106" customWidth="1"/>
    <col min="23" max="24" width="14.28515625" style="106" customWidth="1"/>
    <col min="25" max="25" width="20.140625" style="106" customWidth="1"/>
    <col min="26" max="16384" width="11.5703125" style="106"/>
  </cols>
  <sheetData>
    <row r="2" spans="1:26" ht="1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107"/>
      <c r="O2" s="107"/>
      <c r="P2" s="107"/>
    </row>
    <row r="3" spans="1:26" ht="12" customHeight="1">
      <c r="Q3" s="110"/>
      <c r="R3" s="110"/>
      <c r="S3" s="110"/>
      <c r="T3" s="110"/>
      <c r="U3" s="111"/>
      <c r="V3" s="110"/>
    </row>
    <row r="6" spans="1:26" ht="1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07"/>
      <c r="O6" s="107"/>
      <c r="P6" s="107"/>
    </row>
    <row r="7" spans="1:26" ht="1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7"/>
      <c r="O7" s="107"/>
      <c r="P7" s="107"/>
    </row>
    <row r="8" spans="1:26" ht="15" customHeight="1">
      <c r="B8" s="112" t="s">
        <v>116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07"/>
      <c r="O8" s="107"/>
      <c r="P8" s="107"/>
    </row>
    <row r="9" spans="1:26" ht="15" customHeight="1" thickBot="1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26" ht="24.6" customHeight="1" thickBot="1">
      <c r="A10" s="110" t="s">
        <v>117</v>
      </c>
      <c r="B10" s="115">
        <v>36526</v>
      </c>
      <c r="C10" s="116">
        <v>36892</v>
      </c>
      <c r="D10" s="115">
        <v>37257</v>
      </c>
      <c r="E10" s="116">
        <v>37622</v>
      </c>
      <c r="F10" s="115">
        <v>37987</v>
      </c>
      <c r="G10" s="116">
        <v>38353</v>
      </c>
      <c r="H10" s="115">
        <v>38718</v>
      </c>
      <c r="I10" s="116">
        <v>39083</v>
      </c>
      <c r="J10" s="115">
        <v>39448</v>
      </c>
      <c r="K10" s="116">
        <v>39814</v>
      </c>
      <c r="L10" s="115">
        <v>40179</v>
      </c>
      <c r="M10" s="116">
        <v>40544</v>
      </c>
      <c r="N10" s="115">
        <v>40909</v>
      </c>
      <c r="O10" s="116">
        <v>41275</v>
      </c>
      <c r="P10" s="115">
        <v>41640</v>
      </c>
      <c r="Q10" s="116">
        <v>42005</v>
      </c>
      <c r="R10" s="115">
        <v>42370</v>
      </c>
      <c r="S10" s="115">
        <v>42737</v>
      </c>
      <c r="T10" s="115">
        <v>43103</v>
      </c>
      <c r="U10" s="115">
        <v>43468</v>
      </c>
      <c r="V10" s="115">
        <v>43832</v>
      </c>
      <c r="W10" s="204">
        <v>2021</v>
      </c>
      <c r="X10" s="196">
        <v>2022</v>
      </c>
      <c r="Y10" s="201" t="s">
        <v>152</v>
      </c>
      <c r="Z10" s="199"/>
    </row>
    <row r="11" spans="1:26" s="123" customFormat="1" ht="15" customHeight="1">
      <c r="A11" s="117" t="s">
        <v>118</v>
      </c>
      <c r="B11" s="118">
        <v>235.54</v>
      </c>
      <c r="C11" s="119">
        <v>216.422</v>
      </c>
      <c r="D11" s="118">
        <v>227.13</v>
      </c>
      <c r="E11" s="118">
        <v>184.06</v>
      </c>
      <c r="F11" s="118">
        <v>221.899</v>
      </c>
      <c r="G11" s="118">
        <v>204.197</v>
      </c>
      <c r="H11" s="118">
        <v>213.56</v>
      </c>
      <c r="I11" s="118">
        <v>215.636</v>
      </c>
      <c r="J11" s="118">
        <v>243.68899999999999</v>
      </c>
      <c r="K11" s="118">
        <v>195.345</v>
      </c>
      <c r="L11" s="118">
        <v>239.19900000000001</v>
      </c>
      <c r="M11" s="118">
        <v>243.29599999999999</v>
      </c>
      <c r="N11" s="118">
        <v>258.57299999999998</v>
      </c>
      <c r="O11" s="118">
        <v>285.07799999999997</v>
      </c>
      <c r="P11" s="120">
        <v>296</v>
      </c>
      <c r="Q11" s="120">
        <v>294</v>
      </c>
      <c r="R11" s="120">
        <v>278</v>
      </c>
      <c r="S11" s="121">
        <v>265</v>
      </c>
      <c r="T11" s="121">
        <v>268</v>
      </c>
      <c r="U11" s="121">
        <v>287</v>
      </c>
      <c r="V11" s="121">
        <v>222</v>
      </c>
      <c r="W11" s="193">
        <v>277.5</v>
      </c>
      <c r="X11" s="197">
        <v>243.4</v>
      </c>
      <c r="Y11" s="202">
        <f>X11/W11-1</f>
        <v>-0.12288288288288285</v>
      </c>
      <c r="Z11" s="200"/>
    </row>
    <row r="12" spans="1:26" ht="13.9" customHeight="1" thickBot="1">
      <c r="A12" s="117" t="s">
        <v>119</v>
      </c>
      <c r="B12" s="124">
        <v>176.941</v>
      </c>
      <c r="C12" s="125">
        <v>172.572</v>
      </c>
      <c r="D12" s="124">
        <v>187.00700000000001</v>
      </c>
      <c r="E12" s="124">
        <v>184.81800000000001</v>
      </c>
      <c r="F12" s="124">
        <v>217.56299999999999</v>
      </c>
      <c r="G12" s="124">
        <v>229.52</v>
      </c>
      <c r="H12" s="124">
        <v>209.15100000000001</v>
      </c>
      <c r="I12" s="124">
        <v>212.74600000000001</v>
      </c>
      <c r="J12" s="124">
        <v>204.92</v>
      </c>
      <c r="K12" s="124">
        <v>179.42500000000001</v>
      </c>
      <c r="L12" s="124">
        <v>203.59700000000001</v>
      </c>
      <c r="M12" s="124">
        <v>172.60400000000001</v>
      </c>
      <c r="N12" s="124">
        <v>181.43700000000001</v>
      </c>
      <c r="O12" s="124">
        <v>144.184</v>
      </c>
      <c r="P12" s="126">
        <v>113.7</v>
      </c>
      <c r="Q12" s="126">
        <v>129</v>
      </c>
      <c r="R12" s="126">
        <v>149</v>
      </c>
      <c r="S12" s="127">
        <v>142</v>
      </c>
      <c r="T12" s="127">
        <v>139</v>
      </c>
      <c r="U12" s="127">
        <v>88</v>
      </c>
      <c r="V12" s="127">
        <v>85</v>
      </c>
      <c r="W12" s="194">
        <v>95.5</v>
      </c>
      <c r="X12" s="198">
        <v>85.4</v>
      </c>
      <c r="Y12" s="203">
        <f>X12/W12-1</f>
        <v>-0.10575916230366489</v>
      </c>
      <c r="Z12" s="200"/>
    </row>
    <row r="13" spans="1:26" ht="13.9" customHeight="1" thickBot="1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Q13" s="109"/>
      <c r="R13" s="109"/>
      <c r="S13" s="109"/>
      <c r="T13" s="109"/>
      <c r="U13" s="109"/>
      <c r="V13" s="109"/>
      <c r="W13" s="161"/>
      <c r="X13" s="161"/>
      <c r="Y13" s="109"/>
    </row>
    <row r="14" spans="1:26" ht="13.9" customHeight="1" thickBot="1">
      <c r="A14" s="105" t="s">
        <v>120</v>
      </c>
      <c r="B14" s="130">
        <f>B12+B11</f>
        <v>412.48099999999999</v>
      </c>
      <c r="C14" s="131">
        <f t="shared" ref="C14:R14" si="0">C12+C11</f>
        <v>388.99400000000003</v>
      </c>
      <c r="D14" s="130">
        <f t="shared" si="0"/>
        <v>414.137</v>
      </c>
      <c r="E14" s="131">
        <f t="shared" si="0"/>
        <v>368.87800000000004</v>
      </c>
      <c r="F14" s="130">
        <f t="shared" si="0"/>
        <v>439.46199999999999</v>
      </c>
      <c r="G14" s="131">
        <f t="shared" si="0"/>
        <v>433.71699999999998</v>
      </c>
      <c r="H14" s="130">
        <f t="shared" si="0"/>
        <v>422.71100000000001</v>
      </c>
      <c r="I14" s="131">
        <f t="shared" si="0"/>
        <v>428.38200000000001</v>
      </c>
      <c r="J14" s="130">
        <f t="shared" si="0"/>
        <v>448.60899999999998</v>
      </c>
      <c r="K14" s="131">
        <f t="shared" si="0"/>
        <v>374.77</v>
      </c>
      <c r="L14" s="130">
        <f t="shared" si="0"/>
        <v>442.79600000000005</v>
      </c>
      <c r="M14" s="131">
        <f t="shared" si="0"/>
        <v>415.9</v>
      </c>
      <c r="N14" s="130">
        <f t="shared" si="0"/>
        <v>440.01</v>
      </c>
      <c r="O14" s="131">
        <f t="shared" si="0"/>
        <v>429.26199999999994</v>
      </c>
      <c r="P14" s="130">
        <f t="shared" si="0"/>
        <v>409.7</v>
      </c>
      <c r="Q14" s="131">
        <f t="shared" si="0"/>
        <v>423</v>
      </c>
      <c r="R14" s="130">
        <f t="shared" si="0"/>
        <v>427</v>
      </c>
      <c r="S14" s="130">
        <f>S12+S11</f>
        <v>407</v>
      </c>
      <c r="T14" s="130">
        <f>T12+T11</f>
        <v>407</v>
      </c>
      <c r="U14" s="130">
        <f>U12+U11</f>
        <v>375</v>
      </c>
      <c r="V14" s="130">
        <v>307</v>
      </c>
      <c r="W14" s="205">
        <f>W11+W12</f>
        <v>373</v>
      </c>
      <c r="X14" s="207">
        <f>X11+X12</f>
        <v>328.8</v>
      </c>
      <c r="Y14" s="206">
        <f>X14/W14-1</f>
        <v>-0.11849865951742622</v>
      </c>
      <c r="Z14" s="122"/>
    </row>
    <row r="15" spans="1:26" ht="12" customHeight="1">
      <c r="A15" s="128"/>
      <c r="B15" s="105"/>
      <c r="C15" s="105"/>
      <c r="D15" s="105"/>
      <c r="E15" s="105"/>
      <c r="F15" s="105"/>
      <c r="G15" s="107"/>
      <c r="H15" s="105"/>
      <c r="I15" s="105"/>
      <c r="J15" s="105"/>
      <c r="K15" s="105"/>
      <c r="L15" s="105"/>
      <c r="M15" s="106"/>
      <c r="N15" s="107"/>
      <c r="O15" s="107"/>
      <c r="P15" s="107"/>
      <c r="Q15" s="132"/>
      <c r="R15" s="132"/>
      <c r="S15" s="132"/>
      <c r="T15" s="132"/>
    </row>
    <row r="16" spans="1:26" ht="15" customHeight="1">
      <c r="A16" s="105" t="s">
        <v>154</v>
      </c>
    </row>
    <row r="17" spans="15:21" ht="12" customHeight="1">
      <c r="O17" s="105"/>
    </row>
    <row r="18" spans="15:21" ht="12" customHeight="1">
      <c r="U18" s="133"/>
    </row>
    <row r="19" spans="15:21" ht="12" customHeight="1">
      <c r="U19" s="133"/>
    </row>
    <row r="39" spans="2:17" ht="12" customHeight="1">
      <c r="B39" s="105" t="s">
        <v>154</v>
      </c>
      <c r="G39" s="128"/>
    </row>
    <row r="42" spans="2:17" ht="12" customHeight="1">
      <c r="G42" s="105"/>
    </row>
    <row r="43" spans="2:17" ht="12" customHeight="1">
      <c r="G43" s="105"/>
      <c r="N43" s="134"/>
      <c r="Q43" s="134" t="s">
        <v>121</v>
      </c>
    </row>
    <row r="44" spans="2:17" ht="12" customHeight="1">
      <c r="G44" s="105"/>
    </row>
    <row r="46" spans="2:17" ht="12" customHeight="1">
      <c r="G46" s="105"/>
    </row>
    <row r="47" spans="2:17" ht="12" customHeight="1">
      <c r="G47" s="105"/>
    </row>
    <row r="48" spans="2:17" ht="12" customHeight="1">
      <c r="B48" s="134" t="s">
        <v>122</v>
      </c>
    </row>
    <row r="49" spans="1:22" ht="12" customHeight="1">
      <c r="I49" s="110"/>
      <c r="J49" s="110"/>
      <c r="M49" s="106"/>
      <c r="N49" s="106"/>
      <c r="O49" s="106"/>
      <c r="P49" s="106"/>
    </row>
    <row r="50" spans="1:22" ht="12" customHeight="1" thickBot="1">
      <c r="B50" s="135"/>
      <c r="C50" s="114"/>
      <c r="D50" s="114"/>
      <c r="E50" s="114"/>
      <c r="F50" s="114"/>
      <c r="G50" s="114"/>
      <c r="H50" s="114"/>
      <c r="M50" s="106"/>
      <c r="N50" s="106"/>
      <c r="O50" s="106"/>
      <c r="P50" s="106"/>
      <c r="U50" s="106"/>
    </row>
    <row r="51" spans="1:22" ht="32.25" customHeight="1" thickBot="1">
      <c r="A51" s="136" t="s">
        <v>117</v>
      </c>
      <c r="B51" s="137">
        <v>2010</v>
      </c>
      <c r="C51" s="138">
        <v>2011</v>
      </c>
      <c r="D51" s="138">
        <v>2012</v>
      </c>
      <c r="E51" s="138">
        <v>2013</v>
      </c>
      <c r="F51" s="138">
        <v>2014</v>
      </c>
      <c r="G51" s="138">
        <v>2015</v>
      </c>
      <c r="H51" s="138">
        <v>2016</v>
      </c>
      <c r="I51" s="138">
        <v>2017</v>
      </c>
      <c r="J51" s="138">
        <v>2018</v>
      </c>
      <c r="K51" s="138">
        <v>2019</v>
      </c>
      <c r="L51" s="138">
        <v>2020</v>
      </c>
      <c r="M51" s="208">
        <v>2021</v>
      </c>
      <c r="N51" s="216">
        <v>2022</v>
      </c>
      <c r="O51" s="211" t="s">
        <v>153</v>
      </c>
      <c r="P51" s="106"/>
      <c r="U51" s="106"/>
    </row>
    <row r="52" spans="1:22" ht="21" customHeight="1" thickBot="1">
      <c r="A52" s="139" t="s">
        <v>123</v>
      </c>
      <c r="B52" s="140">
        <f>203597/1000</f>
        <v>203.59700000000001</v>
      </c>
      <c r="C52" s="141">
        <f>172604/1000</f>
        <v>172.60400000000001</v>
      </c>
      <c r="D52" s="141">
        <f>181437/1000</f>
        <v>181.43700000000001</v>
      </c>
      <c r="E52" s="141">
        <f>144184/1000</f>
        <v>144.184</v>
      </c>
      <c r="F52" s="141">
        <f>113700/1000</f>
        <v>113.7</v>
      </c>
      <c r="G52" s="141">
        <f>114050/1000</f>
        <v>114.05</v>
      </c>
      <c r="H52" s="141">
        <v>141</v>
      </c>
      <c r="I52" s="141">
        <v>142</v>
      </c>
      <c r="J52" s="141">
        <v>139</v>
      </c>
      <c r="K52" s="141">
        <v>88</v>
      </c>
      <c r="L52" s="141">
        <v>85</v>
      </c>
      <c r="M52" s="209">
        <v>95.5</v>
      </c>
      <c r="N52" s="207">
        <v>85</v>
      </c>
      <c r="O52" s="212">
        <f>AVERAGE(I52:M52)</f>
        <v>109.9</v>
      </c>
      <c r="P52" s="106"/>
      <c r="U52" s="106"/>
    </row>
    <row r="53" spans="1:22" ht="13.9" customHeight="1" thickBot="1">
      <c r="A53" s="136" t="s">
        <v>124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218"/>
      <c r="O53" s="142"/>
      <c r="P53" s="106"/>
      <c r="U53" s="106"/>
    </row>
    <row r="54" spans="1:22" ht="13.9" customHeight="1">
      <c r="A54" s="143" t="s">
        <v>125</v>
      </c>
      <c r="B54" s="144">
        <f>60500/1000</f>
        <v>60.5</v>
      </c>
      <c r="C54" s="119">
        <f>50631/1000</f>
        <v>50.631</v>
      </c>
      <c r="D54" s="119">
        <f>55545/1000</f>
        <v>55.545000000000002</v>
      </c>
      <c r="E54" s="119">
        <f>44496/1000</f>
        <v>44.496000000000002</v>
      </c>
      <c r="F54" s="119">
        <f>33300/1000</f>
        <v>33.299999999999997</v>
      </c>
      <c r="G54" s="119">
        <v>43</v>
      </c>
      <c r="H54" s="119">
        <v>48</v>
      </c>
      <c r="I54" s="119">
        <v>48</v>
      </c>
      <c r="J54" s="119">
        <v>47</v>
      </c>
      <c r="K54" s="119">
        <v>31</v>
      </c>
      <c r="L54" s="119">
        <v>31</v>
      </c>
      <c r="M54" s="210">
        <v>33</v>
      </c>
      <c r="N54" s="217">
        <v>29</v>
      </c>
      <c r="O54" s="213">
        <f>AVERAGE(I54:M54)</f>
        <v>38</v>
      </c>
      <c r="P54" s="106"/>
      <c r="U54" s="106"/>
    </row>
    <row r="55" spans="1:22" ht="13.9" customHeight="1">
      <c r="A55" s="143" t="s">
        <v>126</v>
      </c>
      <c r="B55" s="144">
        <f>40695/1000</f>
        <v>40.695</v>
      </c>
      <c r="C55" s="119">
        <f>37280/1000</f>
        <v>37.28</v>
      </c>
      <c r="D55" s="119">
        <f>37210/1000</f>
        <v>37.21</v>
      </c>
      <c r="E55" s="119">
        <f>33300/1000</f>
        <v>33.299999999999997</v>
      </c>
      <c r="F55" s="119">
        <f>29700/1000</f>
        <v>29.7</v>
      </c>
      <c r="G55" s="119">
        <v>32</v>
      </c>
      <c r="H55" s="119">
        <v>34</v>
      </c>
      <c r="I55" s="119">
        <v>31</v>
      </c>
      <c r="J55" s="119">
        <v>30</v>
      </c>
      <c r="K55" s="119">
        <v>22</v>
      </c>
      <c r="L55" s="119">
        <v>22</v>
      </c>
      <c r="M55" s="210">
        <v>22</v>
      </c>
      <c r="N55" s="195">
        <v>20</v>
      </c>
      <c r="O55" s="213">
        <f t="shared" ref="O55:O58" si="1">AVERAGE(I55:M55)</f>
        <v>25.4</v>
      </c>
      <c r="P55" s="106"/>
      <c r="U55" s="106"/>
    </row>
    <row r="56" spans="1:22" ht="13.9" customHeight="1">
      <c r="A56" s="143" t="s">
        <v>127</v>
      </c>
      <c r="B56" s="144">
        <f>35470/1000</f>
        <v>35.47</v>
      </c>
      <c r="C56" s="119">
        <f>27813/1000</f>
        <v>27.812999999999999</v>
      </c>
      <c r="D56" s="119">
        <f>29944/1000</f>
        <v>29.943999999999999</v>
      </c>
      <c r="E56" s="119">
        <f>19977/1000</f>
        <v>19.977</v>
      </c>
      <c r="F56" s="119">
        <f>10900/1000</f>
        <v>10.9</v>
      </c>
      <c r="G56" s="119">
        <v>15</v>
      </c>
      <c r="H56" s="119">
        <v>18</v>
      </c>
      <c r="I56" s="119">
        <v>17</v>
      </c>
      <c r="J56" s="119">
        <v>18</v>
      </c>
      <c r="K56" s="119">
        <v>8</v>
      </c>
      <c r="L56" s="119">
        <v>9</v>
      </c>
      <c r="M56" s="210">
        <v>11</v>
      </c>
      <c r="N56" s="195">
        <v>11</v>
      </c>
      <c r="O56" s="213">
        <f t="shared" si="1"/>
        <v>12.6</v>
      </c>
      <c r="P56" s="106"/>
      <c r="U56" s="106"/>
    </row>
    <row r="57" spans="1:22" ht="13.9" customHeight="1" thickBot="1">
      <c r="A57" s="143" t="s">
        <v>79</v>
      </c>
      <c r="B57" s="144">
        <f>21755/1000</f>
        <v>21.754999999999999</v>
      </c>
      <c r="C57" s="119">
        <f>17885/1000</f>
        <v>17.885000000000002</v>
      </c>
      <c r="D57" s="119">
        <f>17445/1000</f>
        <v>17.445</v>
      </c>
      <c r="E57" s="119">
        <f>15100/1000</f>
        <v>15.1</v>
      </c>
      <c r="F57" s="119">
        <f>15300/1000</f>
        <v>15.3</v>
      </c>
      <c r="G57" s="119">
        <f>13000/1000</f>
        <v>13</v>
      </c>
      <c r="H57" s="119">
        <v>16</v>
      </c>
      <c r="I57" s="119">
        <v>13</v>
      </c>
      <c r="J57" s="119">
        <v>12</v>
      </c>
      <c r="K57" s="119">
        <v>8</v>
      </c>
      <c r="L57" s="119">
        <v>7</v>
      </c>
      <c r="M57" s="210">
        <v>9</v>
      </c>
      <c r="N57" s="195">
        <v>9</v>
      </c>
      <c r="O57" s="213">
        <f t="shared" si="1"/>
        <v>9.8000000000000007</v>
      </c>
      <c r="P57" s="106"/>
      <c r="U57" s="106"/>
    </row>
    <row r="58" spans="1:22" ht="13.9" customHeight="1" thickBot="1">
      <c r="A58" s="139" t="s">
        <v>128</v>
      </c>
      <c r="B58" s="130">
        <f t="shared" ref="B58:K58" si="2">SUM(B54:B57)</f>
        <v>158.41999999999999</v>
      </c>
      <c r="C58" s="131">
        <f t="shared" si="2"/>
        <v>133.60900000000001</v>
      </c>
      <c r="D58" s="131">
        <f t="shared" si="2"/>
        <v>140.14400000000001</v>
      </c>
      <c r="E58" s="131">
        <f t="shared" si="2"/>
        <v>112.87299999999999</v>
      </c>
      <c r="F58" s="131">
        <f t="shared" si="2"/>
        <v>89.2</v>
      </c>
      <c r="G58" s="131">
        <f t="shared" si="2"/>
        <v>103</v>
      </c>
      <c r="H58" s="131">
        <f t="shared" si="2"/>
        <v>116</v>
      </c>
      <c r="I58" s="131">
        <f t="shared" si="2"/>
        <v>109</v>
      </c>
      <c r="J58" s="131">
        <f>SUM(J54:J57)</f>
        <v>107</v>
      </c>
      <c r="K58" s="145">
        <f t="shared" si="2"/>
        <v>69</v>
      </c>
      <c r="L58" s="131">
        <v>69</v>
      </c>
      <c r="M58" s="145">
        <f>M54+M55+M56+M57</f>
        <v>75</v>
      </c>
      <c r="N58" s="207">
        <v>68</v>
      </c>
      <c r="O58" s="214">
        <f t="shared" si="1"/>
        <v>85.8</v>
      </c>
      <c r="P58" s="106"/>
      <c r="U58" s="106"/>
    </row>
    <row r="59" spans="1:22" ht="13.9" customHeight="1" thickBot="1">
      <c r="A59" s="139" t="s">
        <v>129</v>
      </c>
      <c r="B59" s="146">
        <f>B58/B52</f>
        <v>0.77810576776671547</v>
      </c>
      <c r="C59" s="147">
        <f t="shared" ref="C59:K59" si="3">C58/C52</f>
        <v>0.77407823688906396</v>
      </c>
      <c r="D59" s="147">
        <f t="shared" si="3"/>
        <v>0.77241136041711445</v>
      </c>
      <c r="E59" s="147">
        <f t="shared" si="3"/>
        <v>0.78283998224490925</v>
      </c>
      <c r="F59" s="147">
        <f t="shared" si="3"/>
        <v>0.78452066842568158</v>
      </c>
      <c r="G59" s="147">
        <f t="shared" si="3"/>
        <v>0.90311266988163086</v>
      </c>
      <c r="H59" s="147">
        <f t="shared" si="3"/>
        <v>0.82269503546099287</v>
      </c>
      <c r="I59" s="147">
        <f t="shared" si="3"/>
        <v>0.76760563380281688</v>
      </c>
      <c r="J59" s="147">
        <f>J58/J52</f>
        <v>0.76978417266187049</v>
      </c>
      <c r="K59" s="148">
        <f t="shared" si="3"/>
        <v>0.78409090909090906</v>
      </c>
      <c r="L59" s="147">
        <v>0.81179999999999997</v>
      </c>
      <c r="M59" s="148">
        <f>M58/M52</f>
        <v>0.78534031413612571</v>
      </c>
      <c r="N59" s="219">
        <f>N58/N52</f>
        <v>0.8</v>
      </c>
      <c r="O59" s="215">
        <f>O58/O52</f>
        <v>0.78070973612374883</v>
      </c>
      <c r="P59" s="106"/>
      <c r="U59" s="106"/>
    </row>
    <row r="60" spans="1:22" ht="12" customHeight="1">
      <c r="B60" s="105"/>
      <c r="C60" s="105"/>
      <c r="D60" s="105"/>
      <c r="E60" s="105"/>
      <c r="F60" s="105"/>
      <c r="G60" s="107"/>
      <c r="H60" s="107"/>
      <c r="I60" s="132"/>
      <c r="J60" s="132"/>
      <c r="M60" s="106"/>
      <c r="N60" s="106"/>
      <c r="O60" s="106"/>
      <c r="P60" s="106"/>
      <c r="U60" s="106"/>
    </row>
    <row r="61" spans="1:22" ht="15" customHeight="1">
      <c r="M61" s="106"/>
      <c r="N61" s="106"/>
      <c r="O61" s="106"/>
      <c r="P61" s="106"/>
      <c r="U61" s="106"/>
    </row>
    <row r="62" spans="1:22" ht="12" customHeight="1">
      <c r="A62" s="105" t="s">
        <v>155</v>
      </c>
      <c r="M62" s="106"/>
      <c r="N62" s="105"/>
      <c r="O62" s="106"/>
      <c r="P62" s="106"/>
      <c r="U62" s="106"/>
    </row>
    <row r="63" spans="1:22" ht="12" customHeight="1">
      <c r="M63" s="106"/>
      <c r="Q63" s="105" t="s">
        <v>155</v>
      </c>
      <c r="U63" s="106"/>
      <c r="V63" s="108"/>
    </row>
    <row r="64" spans="1:22" ht="12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50"/>
      <c r="M64" s="106"/>
      <c r="Q64" s="109"/>
      <c r="U64" s="106"/>
      <c r="V64" s="108"/>
    </row>
    <row r="65" spans="2:11" ht="12" customHeight="1">
      <c r="B65" s="151"/>
      <c r="C65" s="151"/>
      <c r="D65" s="151"/>
      <c r="E65" s="151"/>
      <c r="F65" s="151"/>
      <c r="G65" s="151"/>
      <c r="H65" s="151"/>
      <c r="I65" s="151"/>
      <c r="J65" s="151"/>
      <c r="K65" s="15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Méthodologie</vt:lpstr>
      <vt:lpstr>Calendrier_Estim_production</vt:lpstr>
      <vt:lpstr>GC_EstimProduction2022-2023</vt:lpstr>
      <vt:lpstr>cotations_cereales</vt:lpstr>
      <vt:lpstr>Cotations oleoproteagineux</vt:lpstr>
      <vt:lpstr>Evol.sole-régionale_Blés</vt:lpstr>
      <vt:lpstr>Excel_BuiltIn_Print_Area</vt:lpstr>
      <vt:lpstr>'GC_EstimProduction2022-2023'!Zone_d_impression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2023-06-07T09:12:51Z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