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4\publi\1er_avril\"/>
    </mc:Choice>
  </mc:AlternateContent>
  <bookViews>
    <workbookView xWindow="0" yWindow="0" windowWidth="24000" windowHeight="9330" tabRatio="834" activeTab="2"/>
  </bookViews>
  <sheets>
    <sheet name="Méthodologie" sheetId="1" r:id="rId1"/>
    <sheet name="Calendrier_Estim_production" sheetId="2" r:id="rId2"/>
    <sheet name="GC_EstimProduction2023-2024" sheetId="8" r:id="rId3"/>
    <sheet name="Cotations_cereales " sheetId="9" r:id="rId4"/>
    <sheet name="Cotations_oleoproteagineux" sheetId="10" r:id="rId5"/>
    <sheet name="Evol.sole-régionale_Blés" sheetId="7" r:id="rId6"/>
  </sheets>
  <externalReferences>
    <externalReference r:id="rId7"/>
  </externalReference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 localSheetId="3">((#REF!/#REF!)*100)-100</definedName>
    <definedName name="_102SHARED_FORMULA_15_95_15_95_5_3" localSheetId="4">((#REF!/#REF!)*100)-100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 localSheetId="3">SUM(#REF!)</definedName>
    <definedName name="_105SHARED_FORMULA_2_11_2_11_3_3" localSheetId="4">SUM(#REF!)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 localSheetId="3">((#REF!/#REF!)*100)-100</definedName>
    <definedName name="_111SHARED_FORMULA_4_14_4_14_4_3" localSheetId="4">((#REF!/#REF!)*100)-100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 localSheetId="3">((#REF!/#REF!)*100)-100</definedName>
    <definedName name="_114SHARED_FORMULA_4_14_4_14_5_3" localSheetId="4">((#REF!/#REF!)*100)-100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 localSheetId="3">((#REF!/#REF!)*100)-100</definedName>
    <definedName name="_117SHARED_FORMULA_4_14_4_14_6_3" localSheetId="4">((#REF!/#REF!)*100)-100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 localSheetId="3">((#REF!/#REF!)*100)-100</definedName>
    <definedName name="_120SHARED_FORMULA_4_14_4_14_8_3" localSheetId="4">((#REF!/#REF!)*100)-100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 localSheetId="3">((#REF!/#REF!)*100)-100</definedName>
    <definedName name="_123SHARED_FORMULA_4_15_4_15_7_3" localSheetId="4">((#REF!/#REF!)*100)-100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 localSheetId="3">((#REF!/#REF!)*100)-100</definedName>
    <definedName name="_126SHARED_FORMULA_4_36_4_36_5_3" localSheetId="4">((#REF!/#REF!)*100)-100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 localSheetId="3">((#REF!/#REF!)*100)-100</definedName>
    <definedName name="_129SHARED_FORMULA_4_37_4_37_4_3" localSheetId="4">((#REF!/#REF!)*100)-100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 localSheetId="3">((#REF!/#REF!)*100)-100</definedName>
    <definedName name="_132SHARED_FORMULA_4_37_4_37_6_3" localSheetId="4">((#REF!/#REF!)*100)-100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 localSheetId="3">((#REF!/#REF!)*100)-100</definedName>
    <definedName name="_135SHARED_FORMULA_4_38_4_38_7_3" localSheetId="4">((#REF!/#REF!)*100)-100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 localSheetId="3">((#REF!/#REF!)*100)-100</definedName>
    <definedName name="_138SHARED_FORMULA_4_40_4_40_8_3" localSheetId="4">((#REF!/#REF!)*100)-100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 localSheetId="3">((#REF!/#REF!)*100)-100</definedName>
    <definedName name="_141SHARED_FORMULA_4_53_4_53_8_3" localSheetId="4">((#REF!/#REF!)*100)-100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 localSheetId="3">((#REF!/#REF!)*100)-100</definedName>
    <definedName name="_144SHARED_FORMULA_4_54_4_54_5_3" localSheetId="4">((#REF!/#REF!)*100)-100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 localSheetId="3">((#REF!/#REF!)*100)-100</definedName>
    <definedName name="_147SHARED_FORMULA_4_55_4_55_4_3" localSheetId="4">((#REF!/#REF!)*100)-100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 localSheetId="3">((#REF!/#REF!)*100)-100</definedName>
    <definedName name="_150SHARED_FORMULA_4_55_4_55_6_3" localSheetId="4">((#REF!/#REF!)*100)-100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 localSheetId="3">((#REF!/#REF!)*100)-100</definedName>
    <definedName name="_153SHARED_FORMULA_4_56_4_56_7_3" localSheetId="4">((#REF!/#REF!)*100)-100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 localSheetId="3">((#REF!/#REF!)*100)-100</definedName>
    <definedName name="_156SHARED_FORMULA_4_71_4_71_5_3" localSheetId="4">((#REF!/#REF!)*100)-100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 localSheetId="3">((#REF!/#REF!)*100)-100</definedName>
    <definedName name="_159SHARED_FORMULA_4_71_4_71_8_3" localSheetId="4">((#REF!/#REF!)*100)-100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 localSheetId="3">((#REF!/#REF!)*100)-100</definedName>
    <definedName name="_162SHARED_FORMULA_4_72_4_72_4_3" localSheetId="4">((#REF!/#REF!)*100)-100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 localSheetId="3">((#REF!/#REF!)*100)-100</definedName>
    <definedName name="_165SHARED_FORMULA_4_72_4_72_6_3" localSheetId="4">((#REF!/#REF!)*100)-100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 localSheetId="3">((#REF!/#REF!)*100)-100</definedName>
    <definedName name="_168SHARED_FORMULA_4_73_4_73_7_3" localSheetId="4">((#REF!/#REF!)*100)-100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 localSheetId="3">((#REF!/#REF!)*100)-100</definedName>
    <definedName name="_171SHARED_FORMULA_4_88_4_88_8_3" localSheetId="4">((#REF!/#REF!)*100)-100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 localSheetId="3">((#REF!/#REF!)*100)-100</definedName>
    <definedName name="_174SHARED_FORMULA_4_89_4_89_5_3" localSheetId="4">((#REF!/#REF!)*100)-100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 localSheetId="3">SUM(#REF!)</definedName>
    <definedName name="_30SHARED_FORMULA_1_55_1_55_3_3" localSheetId="4">SUM(#REF!)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 localSheetId="3">#REF!/#REF!*100</definedName>
    <definedName name="_33SHARED_FORMULA_1_56_1_56_3_3" localSheetId="4">#REF!/#REF!*100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 localSheetId="3">((#REF!/#REF!)*100)-100</definedName>
    <definedName name="_36SHARED_FORMULA_15_14_15_14_4_3" localSheetId="4">((#REF!/#REF!)*100)-100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 localSheetId="3">((#REF!/#REF!)*100)-100</definedName>
    <definedName name="_39SHARED_FORMULA_15_14_15_14_5_3" localSheetId="4">((#REF!/#REF!)*100)-100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 localSheetId="3">((#REF!/#REF!)*100)-100</definedName>
    <definedName name="_42SHARED_FORMULA_15_14_15_14_6_3" localSheetId="4">((#REF!/#REF!)*100)-100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 localSheetId="3">((#REF!/#REF!)*100)-100</definedName>
    <definedName name="_45SHARED_FORMULA_15_14_15_14_8_3" localSheetId="4">((#REF!/#REF!)*100)-100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 localSheetId="3">((#REF!/#REF!)*100)-100</definedName>
    <definedName name="_48SHARED_FORMULA_15_15_15_15_7_3" localSheetId="4">((#REF!/#REF!)*100)-100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 localSheetId="3">((#REF!/#REF!)*100)-100</definedName>
    <definedName name="_51SHARED_FORMULA_15_36_15_36_5_3" localSheetId="4">((#REF!/#REF!)*100)-100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 localSheetId="3">((#REF!/#REF!)*100)-100</definedName>
    <definedName name="_54SHARED_FORMULA_15_37_15_37_4_3" localSheetId="4">((#REF!/#REF!)*100)-100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 localSheetId="3">((#REF!/#REF!)*100)-100</definedName>
    <definedName name="_57SHARED_FORMULA_15_37_15_37_6_3" localSheetId="4">((#REF!/#REF!)*100)-100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 localSheetId="3">((#REF!/#REF!)*100)-100</definedName>
    <definedName name="_60SHARED_FORMULA_15_38_15_38_7_3" localSheetId="4">((#REF!/#REF!)*100)-100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 localSheetId="3">((#REF!/#REF!)*100)-100</definedName>
    <definedName name="_63SHARED_FORMULA_15_40_15_40_8_3" localSheetId="4">((#REF!/#REF!)*100)-100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 localSheetId="3">((#REF!/#REF!)*100)-100</definedName>
    <definedName name="_66SHARED_FORMULA_15_53_15_53_8_3" localSheetId="4">((#REF!/#REF!)*100)-100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 localSheetId="3">((#REF!/#REF!)*100)-100</definedName>
    <definedName name="_69SHARED_FORMULA_15_54_15_54_5_3" localSheetId="4">((#REF!/#REF!)*100)-100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 localSheetId="3">((#REF!/#REF!)*100)-100</definedName>
    <definedName name="_72SHARED_FORMULA_15_55_15_55_4_3" localSheetId="4">((#REF!/#REF!)*100)-100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 localSheetId="3">((#REF!/#REF!)*100)-100</definedName>
    <definedName name="_75SHARED_FORMULA_15_55_15_55_6_3" localSheetId="4">((#REF!/#REF!)*100)-100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 localSheetId="3">((#REF!/#REF!)*100)-100</definedName>
    <definedName name="_78SHARED_FORMULA_15_56_15_56_7_3" localSheetId="4">((#REF!/#REF!)*100)-100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 localSheetId="3">((#REF!/#REF!)*100)-100</definedName>
    <definedName name="_81SHARED_FORMULA_15_71_15_71_8_3" localSheetId="4">((#REF!/#REF!)*100)-100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 localSheetId="3">((#REF!/#REF!)*100)-100</definedName>
    <definedName name="_84SHARED_FORMULA_15_72_15_72_5_3" localSheetId="4">((#REF!/#REF!)*100)-100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 localSheetId="3">((#REF!/#REF!)*100)-100</definedName>
    <definedName name="_87SHARED_FORMULA_15_73_15_73_4_3" localSheetId="4">((#REF!/#REF!)*100)-100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 localSheetId="3">((#REF!/#REF!)*100)-100</definedName>
    <definedName name="_90SHARED_FORMULA_15_73_15_73_6_3" localSheetId="4">((#REF!/#REF!)*100)-100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 localSheetId="3">((#REF!/#REF!)*100)-100</definedName>
    <definedName name="_93SHARED_FORMULA_15_74_15_74_7_3" localSheetId="4">((#REF!/#REF!)*100)-100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 localSheetId="3">((#REF!/#REF!)*100)-100</definedName>
    <definedName name="_96SHARED_FORMULA_15_89_15_89_5_3" localSheetId="4">((#REF!/#REF!)*100)-100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 localSheetId="3">((#REF!/#REF!)*100)-100</definedName>
    <definedName name="_99SHARED_FORMULA_15_89_15_89_8_3" localSheetId="4">((#REF!/#REF!)*100)-100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'GC_EstimProduction2023-2024'!#REF!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E39" i="9" l="1"/>
  <c r="E33" i="9"/>
  <c r="S30" i="8" l="1"/>
  <c r="V32" i="8"/>
  <c r="V28" i="8"/>
  <c r="V26" i="8"/>
  <c r="V24" i="8"/>
  <c r="V22" i="8"/>
  <c r="V20" i="8"/>
  <c r="V18" i="8"/>
  <c r="V16" i="8"/>
  <c r="V14" i="8"/>
  <c r="E38" i="9" l="1"/>
  <c r="E11" i="10" l="1"/>
  <c r="S28" i="8" l="1"/>
  <c r="S26" i="8"/>
  <c r="S24" i="8"/>
  <c r="S22" i="8"/>
  <c r="S20" i="8"/>
  <c r="S18" i="8"/>
  <c r="S16" i="8"/>
  <c r="S14" i="8"/>
  <c r="Z14" i="7" l="1"/>
  <c r="Z12" i="7"/>
  <c r="Z11" i="7"/>
  <c r="Y14" i="7"/>
  <c r="P59" i="7"/>
  <c r="P58" i="7"/>
  <c r="P57" i="7"/>
  <c r="P56" i="7"/>
  <c r="P55" i="7"/>
  <c r="P54" i="7"/>
  <c r="P52" i="7"/>
  <c r="O59" i="7"/>
  <c r="O58" i="7"/>
  <c r="E5" i="10" l="1"/>
  <c r="E23" i="10"/>
  <c r="E31" i="10"/>
  <c r="E30" i="10"/>
  <c r="E29" i="10"/>
  <c r="E28" i="10"/>
  <c r="E27" i="10"/>
  <c r="E26" i="10"/>
  <c r="E25" i="10"/>
  <c r="E24" i="10"/>
  <c r="E13" i="9"/>
  <c r="E13" i="10"/>
  <c r="E12" i="10"/>
  <c r="E10" i="10"/>
  <c r="E9" i="10"/>
  <c r="E8" i="10"/>
  <c r="E7" i="10"/>
  <c r="E6" i="10"/>
  <c r="E59" i="9"/>
  <c r="E58" i="9"/>
  <c r="E57" i="9"/>
  <c r="E56" i="9"/>
  <c r="E55" i="9"/>
  <c r="E54" i="9"/>
  <c r="E53" i="9"/>
  <c r="E52" i="9"/>
  <c r="E51" i="9"/>
  <c r="E37" i="9"/>
  <c r="E36" i="9"/>
  <c r="E35" i="9"/>
  <c r="E34" i="9"/>
  <c r="E32" i="9"/>
  <c r="E24" i="9"/>
  <c r="E23" i="9"/>
  <c r="E22" i="9"/>
  <c r="E21" i="9"/>
  <c r="E20" i="9"/>
  <c r="E19" i="9"/>
  <c r="E18" i="9"/>
  <c r="E17" i="9"/>
  <c r="E16" i="9"/>
  <c r="E15" i="9"/>
  <c r="E14" i="9"/>
  <c r="N59" i="7" l="1"/>
  <c r="X14" i="7"/>
  <c r="M58" i="7" l="1"/>
  <c r="M59" i="7" s="1"/>
  <c r="K58" i="7"/>
  <c r="K59" i="7" s="1"/>
  <c r="J58" i="7"/>
  <c r="J59" i="7" s="1"/>
  <c r="I58" i="7"/>
  <c r="H58" i="7"/>
  <c r="H59" i="7" s="1"/>
  <c r="G57" i="7"/>
  <c r="G58" i="7" s="1"/>
  <c r="F57" i="7"/>
  <c r="E57" i="7"/>
  <c r="D57" i="7"/>
  <c r="C57" i="7"/>
  <c r="B57" i="7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G52" i="7"/>
  <c r="F52" i="7"/>
  <c r="E52" i="7"/>
  <c r="D52" i="7"/>
  <c r="C52" i="7"/>
  <c r="B52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I59" i="7" l="1"/>
  <c r="E58" i="7"/>
  <c r="E59" i="7" s="1"/>
  <c r="C58" i="7"/>
  <c r="C59" i="7" s="1"/>
  <c r="D58" i="7"/>
  <c r="D59" i="7" s="1"/>
  <c r="G59" i="7"/>
  <c r="B58" i="7"/>
  <c r="B59" i="7" s="1"/>
  <c r="F58" i="7"/>
  <c r="F59" i="7" s="1"/>
</calcChain>
</file>

<file path=xl/sharedStrings.xml><?xml version="1.0" encoding="utf-8"?>
<sst xmlns="http://schemas.openxmlformats.org/spreadsheetml/2006/main" count="240" uniqueCount="151">
  <si>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</si>
  <si>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</si>
  <si>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</si>
  <si>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</si>
  <si>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</si>
  <si>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</si>
  <si>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</si>
  <si>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</si>
  <si>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</si>
  <si>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</si>
  <si>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</si>
  <si>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</si>
  <si>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</si>
  <si>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</si>
  <si>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</si>
  <si>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</si>
  <si>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t>déclaré et appartenant toujours aux livreurs. Ces stocks sont détaillés par département du silo de stockage.</t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</si>
  <si>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</si>
  <si>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</si>
  <si>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</si>
  <si>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</si>
  <si>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</si>
  <si>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</si>
  <si>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</si>
  <si>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</si>
  <si>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</si>
  <si>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</si>
  <si>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</si>
  <si>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</si>
  <si>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</si>
  <si>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</si>
  <si>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</si>
  <si>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</si>
  <si>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</si>
  <si>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</si>
  <si>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</si>
  <si>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</si>
  <si>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</si>
  <si>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</si>
  <si>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</si>
  <si>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</si>
  <si>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</si>
  <si>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</si>
  <si>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</si>
  <si>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</si>
  <si>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</si>
  <si>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</si>
  <si>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</si>
  <si>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</si>
  <si>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</si>
  <si>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</si>
  <si>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</si>
  <si>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</si>
  <si>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</si>
  <si>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</si>
  <si>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</si>
  <si>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</si>
  <si>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</si>
  <si>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</si>
  <si>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</si>
  <si>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</si>
  <si>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</si>
  <si>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</si>
  <si>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</si>
  <si>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</si>
  <si>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</si>
  <si>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</si>
  <si>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</si>
  <si>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</si>
  <si>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</si>
  <si>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</si>
  <si>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</si>
  <si>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</si>
  <si>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</si>
  <si>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</si>
  <si>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</si>
  <si>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</si>
  <si>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</si>
  <si>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</si>
  <si>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</si>
  <si>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</si>
  <si>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</si>
  <si>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</si>
  <si>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</si>
  <si>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</si>
  <si>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</si>
  <si>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</si>
  <si>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</si>
  <si>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</si>
  <si>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</si>
  <si>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</si>
  <si>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</si>
  <si>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</si>
  <si>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Euro/
Tonne</t>
  </si>
  <si>
    <t>2022-2023</t>
  </si>
  <si>
    <t>Evolution des cotations de maïs, FOB Atlantique (base juillet)</t>
  </si>
  <si>
    <t>Euro/
Tonnes</t>
  </si>
  <si>
    <t>Evolution des cotations de Colza, rendu Rouen</t>
  </si>
  <si>
    <t>Evolution des cotations de Tournesol, rendu Bordeaux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</si>
  <si>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</si>
  <si>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</si>
  <si>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</si>
  <si>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</si>
  <si>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</si>
  <si>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</si>
  <si>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</si>
  <si>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</si>
  <si>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</si>
  <si>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</si>
  <si>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</si>
  <si>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</si>
  <si>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</si>
  <si>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</si>
  <si>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t>(2) : Evolutions des surfaces en %  calculées par comparaison aux données de la SAA 2015 définitive</t>
  </si>
  <si>
    <t>Unités : ha</t>
  </si>
  <si>
    <t>Unités : ha, qx/ha, %</t>
  </si>
  <si>
    <t>Moyenne 2018-2022</t>
  </si>
  <si>
    <t>2023-2024</t>
  </si>
  <si>
    <t>Evol. 2022/2023</t>
  </si>
  <si>
    <t>juillet</t>
  </si>
  <si>
    <t>Evolution des cotations de blé dur, FOB Port-la-Nouvelle (base juillet)</t>
  </si>
  <si>
    <t>OCCITANIE</t>
  </si>
  <si>
    <r>
      <rPr>
        <b/>
        <sz val="9"/>
        <color rgb="FF000000"/>
        <rFont val="Arial"/>
        <family val="2"/>
      </rPr>
      <t xml:space="preserve">Cultures </t>
    </r>
    <r>
      <rPr>
        <sz val="9"/>
        <color rgb="FF000000"/>
        <rFont val="Arial"/>
        <family val="2"/>
      </rPr>
      <t>(1)</t>
    </r>
  </si>
  <si>
    <r>
      <rPr>
        <b/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eigle</t>
    </r>
  </si>
  <si>
    <r>
      <rPr>
        <b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rge et
escourgeon d'hiver</t>
    </r>
  </si>
  <si>
    <r>
      <rPr>
        <b/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riticale</t>
    </r>
  </si>
  <si>
    <r>
      <rPr>
        <b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olza (et navette)</t>
    </r>
  </si>
  <si>
    <t>Evolution  2022/2023</t>
  </si>
  <si>
    <t>Moyenne2018/2022</t>
  </si>
  <si>
    <t>Source - Agreste - Statistique agricole annuelle provisoire 2023</t>
  </si>
  <si>
    <t>Le 1er décembre correspond au démarrage de la nouvelle campagne agricole « grandes cultures » 2023-2024 qui se déroulera jusqu’au</t>
  </si>
  <si>
    <t>Source - Agreste - Statistique agricole annuelle _ Estimations SRISET 2023</t>
  </si>
  <si>
    <t>Campagne de production 2024 (estimations précoces de production)</t>
  </si>
  <si>
    <t>Agreste - SAA (préliminaire pour 2023)</t>
  </si>
  <si>
    <t>Grandes cultures : estimations des surfaces au 1er avril 2024</t>
  </si>
  <si>
    <r>
      <t>B</t>
    </r>
    <r>
      <rPr>
        <sz val="9"/>
        <color rgb="FF000000"/>
        <rFont val="Arial"/>
        <family val="2"/>
      </rPr>
      <t>lé tendre</t>
    </r>
  </si>
  <si>
    <r>
      <t>O</t>
    </r>
    <r>
      <rPr>
        <sz val="9"/>
        <color rgb="FF000000"/>
        <rFont val="Arial"/>
        <family val="2"/>
      </rPr>
      <t>rge et
escourgeon de printemps</t>
    </r>
  </si>
  <si>
    <r>
      <t>A</t>
    </r>
    <r>
      <rPr>
        <sz val="9"/>
        <color rgb="FF000000"/>
        <rFont val="Arial"/>
        <family val="2"/>
      </rPr>
      <t>voine</t>
    </r>
  </si>
  <si>
    <r>
      <t>B</t>
    </r>
    <r>
      <rPr>
        <sz val="9"/>
        <color rgb="FF000000"/>
        <rFont val="Arial"/>
        <family val="2"/>
      </rPr>
      <t xml:space="preserve">lé dur </t>
    </r>
  </si>
  <si>
    <t>Pois protéagineux</t>
  </si>
  <si>
    <t>(2) : Évolutions des surfaces en % calculées par comparaison aux estimations Agreste de la campagne précédente - SAA (préliminaire pour 2023)</t>
  </si>
  <si>
    <t>Evolution par rapport à la moyenne quinquennale (3)</t>
  </si>
  <si>
    <t>(3) : Évolutions des surfaces en % calculées par comparaison aux estimations moyennes des 5 dernières campagnes - Agreste  - SAA (préliminaire pour 2023)</t>
  </si>
  <si>
    <t>Surface moyenne 2019-2023 Occitanie</t>
  </si>
  <si>
    <t>Evolution par rapport à la campagne précédente (2)</t>
  </si>
  <si>
    <t>(4) : Estimations établies avec les données de SAA préliminaires pour 2023</t>
  </si>
  <si>
    <r>
      <rPr>
        <b/>
        <sz val="11"/>
        <color rgb="FF000000"/>
        <rFont val="Marianne"/>
        <family val="3"/>
      </rPr>
      <t>30 novembre 2024</t>
    </r>
    <r>
      <rPr>
        <sz val="11"/>
        <color rgb="FF000000"/>
        <rFont val="Marianne"/>
        <family val="3"/>
      </rPr>
      <t>. Les premières estimations ne concernent que les céréales d’hiver (blé, seigle, orge, avoine, triticale) et le colza. Ces estimations</t>
    </r>
  </si>
  <si>
    <r>
      <t>Le</t>
    </r>
    <r>
      <rPr>
        <b/>
        <sz val="11"/>
        <color rgb="FF333333"/>
        <rFont val="Marianne"/>
        <family val="3"/>
      </rPr>
      <t>s stocks « collecteurs » correspondent à des quantités de grains (consommation et semences) appartenant au collecteur déclaré</t>
    </r>
  </si>
  <si>
    <r>
      <t>Les stocks en dépôts sont représentés</t>
    </r>
    <r>
      <rPr>
        <sz val="11"/>
        <color rgb="FF333333"/>
        <rFont val="Marianne"/>
        <family val="3"/>
      </rPr>
      <t xml:space="preserve"> par des quantités de graines de céréales ou oléprotéagineux qui sont présentes dans les silos du collecteur</t>
    </r>
  </si>
  <si>
    <r>
      <t xml:space="preserve">Déclarations mensuelles obligatoires, </t>
    </r>
    <r>
      <rPr>
        <sz val="11"/>
        <rFont val="Marianne"/>
        <family val="3"/>
      </rPr>
      <t>réalisées par les collecteurs et les producteurs grainiers sur les Etats 2.</t>
    </r>
  </si>
  <si>
    <t>Cotations des oléoprotéagineux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</si>
</sst>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0&quot;  &quot;"/>
    <numFmt numFmtId="165" formatCode="0.0"/>
    <numFmt numFmtId="166" formatCode="#.0"/>
    <numFmt numFmtId="167" formatCode="yyyy"/>
    <numFmt numFmtId="168" formatCode="#,##0\ "/>
    <numFmt numFmtId="169" formatCode="* #,##0\ ;* \(#,##0\);* &quot;- &quot;;@\ "/>
    <numFmt numFmtId="170" formatCode="#,##0.00\ [$€-40C];[Red]\-#,##0.00\ [$€-40C]"/>
    <numFmt numFmtId="171" formatCode="_-* #,##0\ _€_-;\-* #,##0\ _€_-;_-* &quot;-&quot;??\ _€_-;_-@_-"/>
  </numFmts>
  <fonts count="78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11"/>
      <color rgb="FF000000"/>
      <name val="Marianne"/>
      <family val="3"/>
    </font>
    <font>
      <sz val="11"/>
      <color rgb="FF333333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333333"/>
      <name val="Marianne"/>
      <family val="3"/>
    </font>
    <font>
      <b/>
      <sz val="11"/>
      <color rgb="FF008080"/>
      <name val="Marianne"/>
      <family val="3"/>
    </font>
    <font>
      <b/>
      <sz val="11"/>
      <name val="Marianne"/>
      <family val="3"/>
    </font>
    <font>
      <sz val="11"/>
      <name val="Marianne"/>
      <family val="3"/>
    </font>
    <font>
      <u/>
      <sz val="10"/>
      <color theme="10"/>
      <name val="Arial"/>
      <family val="2"/>
    </font>
    <font>
      <u/>
      <sz val="11"/>
      <color theme="10"/>
      <name val="Marianne"/>
      <family val="3"/>
    </font>
    <font>
      <sz val="12"/>
      <name val="Marianne"/>
      <family val="3"/>
    </font>
    <font>
      <sz val="8"/>
      <name val="Marianne"/>
      <family val="3"/>
    </font>
    <font>
      <sz val="8"/>
      <color theme="1"/>
      <name val="Marianne"/>
      <family val="3"/>
    </font>
    <font>
      <sz val="10"/>
      <color theme="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0"/>
      <name val="Marianne"/>
      <family val="3"/>
    </font>
    <font>
      <b/>
      <sz val="8"/>
      <color theme="1"/>
      <name val="Marianne"/>
      <family val="3"/>
    </font>
    <font>
      <sz val="12"/>
      <color theme="1"/>
      <name val="Marianne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 style="thin">
        <color indexed="17"/>
      </bottom>
      <diagonal/>
    </border>
  </borders>
  <cellStyleXfs count="33">
    <xf numFmtId="0" fontId="0" fillId="0" borderId="0">
      <protection locked="0"/>
    </xf>
    <xf numFmtId="9" fontId="27" fillId="0" borderId="0" applyFill="0" applyBorder="0" applyAlignment="0" applyProtection="0"/>
    <xf numFmtId="0" fontId="27" fillId="0" borderId="0"/>
    <xf numFmtId="0" fontId="1" fillId="0" borderId="0" applyBorder="0">
      <protection locked="0"/>
    </xf>
    <xf numFmtId="9" fontId="46" fillId="0" borderId="0" applyFont="0" applyFill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4" borderId="0" applyNumberFormat="0" applyBorder="0" applyAlignment="0" applyProtection="0"/>
    <xf numFmtId="0" fontId="49" fillId="16" borderId="40" applyNumberFormat="0" applyAlignment="0" applyProtection="0"/>
    <xf numFmtId="169" fontId="27" fillId="0" borderId="0" applyFill="0" applyBorder="0" applyAlignment="0" applyProtection="0"/>
    <xf numFmtId="0" fontId="27" fillId="17" borderId="41" applyNumberFormat="0" applyAlignment="0" applyProtection="0"/>
    <xf numFmtId="169" fontId="27" fillId="0" borderId="0" applyFill="0" applyBorder="0" applyAlignment="0" applyProtection="0"/>
    <xf numFmtId="0" fontId="27" fillId="0" borderId="0" applyNumberFormat="0" applyFill="0" applyBorder="0" applyProtection="0">
      <alignment horizontal="center"/>
    </xf>
    <xf numFmtId="0" fontId="50" fillId="11" borderId="40" applyNumberFormat="0" applyAlignment="0" applyProtection="0"/>
    <xf numFmtId="0" fontId="56" fillId="0" borderId="0" applyNumberForma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0" fontId="51" fillId="0" borderId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0" fontId="52" fillId="0" borderId="0" applyFill="0" applyBorder="0" applyAlignment="0" applyProtection="0"/>
    <xf numFmtId="0" fontId="53" fillId="16" borderId="4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textRotation="90"/>
    </xf>
    <xf numFmtId="43" fontId="61" fillId="0" borderId="0" applyFont="0" applyFill="0" applyBorder="0" applyAlignment="0" applyProtection="0"/>
    <xf numFmtId="0" fontId="46" fillId="0" borderId="0">
      <protection locked="0"/>
    </xf>
    <xf numFmtId="0" fontId="67" fillId="0" borderId="0" applyNumberFormat="0" applyFill="0" applyBorder="0" applyAlignment="0" applyProtection="0">
      <protection locked="0"/>
    </xf>
  </cellStyleXfs>
  <cellXfs count="232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8" fillId="2" borderId="0" xfId="0" applyFont="1" applyFill="1">
      <protection locked="0"/>
    </xf>
    <xf numFmtId="0" fontId="8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0" fillId="0" borderId="0" xfId="0" applyNumberFormat="1" applyFont="1" applyAlignment="1">
      <alignment horizontal="left" vertical="center"/>
      <protection locked="0"/>
    </xf>
    <xf numFmtId="0" fontId="12" fillId="0" borderId="0" xfId="0" applyFont="1" applyAlignment="1">
      <protection locked="0"/>
    </xf>
    <xf numFmtId="0" fontId="13" fillId="0" borderId="0" xfId="0" applyFont="1" applyAlignment="1">
      <protection locked="0"/>
    </xf>
    <xf numFmtId="0" fontId="0" fillId="0" borderId="0" xfId="0">
      <protection locked="0"/>
    </xf>
    <xf numFmtId="0" fontId="11" fillId="0" borderId="0" xfId="0" applyFont="1" applyAlignment="1">
      <protection locked="0"/>
    </xf>
    <xf numFmtId="0" fontId="14" fillId="0" borderId="0" xfId="0" applyFont="1" applyAlignment="1">
      <protection locked="0"/>
    </xf>
    <xf numFmtId="0" fontId="13" fillId="0" borderId="0" xfId="0" applyFont="1" applyAlignment="1">
      <alignment vertical="center"/>
      <protection locked="0"/>
    </xf>
    <xf numFmtId="0" fontId="28" fillId="0" borderId="0" xfId="2" applyFont="1" applyFill="1"/>
    <xf numFmtId="0" fontId="29" fillId="0" borderId="0" xfId="2" applyFont="1" applyFill="1"/>
    <xf numFmtId="0" fontId="31" fillId="0" borderId="0" xfId="2" applyFont="1" applyFill="1"/>
    <xf numFmtId="0" fontId="29" fillId="0" borderId="0" xfId="2" applyFont="1" applyFill="1" applyBorder="1"/>
    <xf numFmtId="0" fontId="32" fillId="0" borderId="0" xfId="2" applyFont="1" applyFill="1" applyAlignment="1"/>
    <xf numFmtId="0" fontId="33" fillId="0" borderId="0" xfId="2" applyFont="1" applyFill="1"/>
    <xf numFmtId="0" fontId="27" fillId="0" borderId="0" xfId="2" applyFill="1" applyAlignment="1">
      <alignment horizontal="center"/>
    </xf>
    <xf numFmtId="0" fontId="35" fillId="0" borderId="0" xfId="2" applyFont="1" applyFill="1"/>
    <xf numFmtId="0" fontId="35" fillId="0" borderId="0" xfId="2" applyFont="1" applyFill="1" applyBorder="1"/>
    <xf numFmtId="0" fontId="30" fillId="0" borderId="0" xfId="2" applyFont="1" applyFill="1"/>
    <xf numFmtId="165" fontId="30" fillId="0" borderId="0" xfId="2" applyNumberFormat="1" applyFont="1" applyFill="1"/>
    <xf numFmtId="0" fontId="38" fillId="0" borderId="0" xfId="2" applyFont="1" applyFill="1" applyAlignment="1"/>
    <xf numFmtId="0" fontId="38" fillId="0" borderId="0" xfId="2" applyFont="1" applyFill="1"/>
    <xf numFmtId="2" fontId="36" fillId="0" borderId="16" xfId="2" applyNumberFormat="1" applyFont="1" applyFill="1" applyBorder="1" applyAlignment="1">
      <alignment horizontal="center" vertical="center" wrapText="1"/>
    </xf>
    <xf numFmtId="9" fontId="36" fillId="0" borderId="16" xfId="1" applyFont="1" applyFill="1" applyBorder="1" applyAlignment="1">
      <alignment horizontal="right" vertical="center" wrapText="1"/>
    </xf>
    <xf numFmtId="2" fontId="36" fillId="0" borderId="17" xfId="2" applyNumberFormat="1" applyFont="1" applyFill="1" applyBorder="1" applyAlignment="1">
      <alignment horizontal="center" vertical="center" wrapText="1"/>
    </xf>
    <xf numFmtId="9" fontId="36" fillId="0" borderId="17" xfId="1" applyFont="1" applyFill="1" applyBorder="1" applyAlignment="1">
      <alignment horizontal="right" vertical="center" wrapText="1"/>
    </xf>
    <xf numFmtId="2" fontId="36" fillId="0" borderId="18" xfId="2" applyNumberFormat="1" applyFont="1" applyFill="1" applyBorder="1" applyAlignment="1">
      <alignment horizontal="center" vertical="center" wrapText="1"/>
    </xf>
    <xf numFmtId="9" fontId="36" fillId="0" borderId="18" xfId="1" applyFont="1" applyFill="1" applyBorder="1" applyAlignment="1">
      <alignment horizontal="right" vertical="center" wrapText="1"/>
    </xf>
    <xf numFmtId="0" fontId="40" fillId="8" borderId="0" xfId="2" applyFont="1" applyFill="1"/>
    <xf numFmtId="4" fontId="41" fillId="8" borderId="0" xfId="2" applyNumberFormat="1" applyFont="1" applyFill="1" applyAlignment="1" applyProtection="1">
      <protection locked="0"/>
    </xf>
    <xf numFmtId="165" fontId="41" fillId="8" borderId="0" xfId="2" applyNumberFormat="1" applyFont="1" applyFill="1"/>
    <xf numFmtId="0" fontId="29" fillId="7" borderId="0" xfId="2" applyFont="1" applyFill="1" applyBorder="1" applyAlignment="1">
      <alignment horizontal="left" vertical="center"/>
    </xf>
    <xf numFmtId="0" fontId="29" fillId="7" borderId="0" xfId="2" applyFont="1" applyFill="1" applyBorder="1" applyAlignment="1">
      <alignment vertical="center"/>
    </xf>
    <xf numFmtId="3" fontId="29" fillId="7" borderId="0" xfId="2" applyNumberFormat="1" applyFont="1" applyFill="1" applyBorder="1" applyAlignment="1">
      <alignment horizontal="left" vertical="center"/>
    </xf>
    <xf numFmtId="165" fontId="29" fillId="7" borderId="0" xfId="2" applyNumberFormat="1" applyFont="1" applyFill="1" applyBorder="1" applyAlignment="1">
      <alignment vertical="center"/>
    </xf>
    <xf numFmtId="3" fontId="29" fillId="7" borderId="0" xfId="2" applyNumberFormat="1" applyFont="1" applyFill="1" applyBorder="1" applyAlignment="1">
      <alignment vertical="center"/>
    </xf>
    <xf numFmtId="0" fontId="42" fillId="7" borderId="0" xfId="2" applyFont="1" applyFill="1" applyBorder="1" applyAlignment="1">
      <alignment horizontal="left" vertical="center"/>
    </xf>
    <xf numFmtId="165" fontId="42" fillId="7" borderId="0" xfId="2" applyNumberFormat="1" applyFont="1" applyFill="1" applyBorder="1" applyAlignment="1">
      <alignment horizontal="left" vertical="center"/>
    </xf>
    <xf numFmtId="0" fontId="31" fillId="7" borderId="0" xfId="2" applyFont="1" applyFill="1" applyBorder="1" applyAlignment="1">
      <alignment horizontal="left" vertical="center"/>
    </xf>
    <xf numFmtId="3" fontId="43" fillId="7" borderId="0" xfId="2" applyNumberFormat="1" applyFont="1" applyFill="1" applyBorder="1" applyAlignment="1">
      <alignment horizontal="left" vertical="center"/>
    </xf>
    <xf numFmtId="3" fontId="42" fillId="7" borderId="0" xfId="2" applyNumberFormat="1" applyFont="1" applyFill="1" applyBorder="1" applyAlignment="1">
      <alignment horizontal="center" vertical="center"/>
    </xf>
    <xf numFmtId="167" fontId="42" fillId="7" borderId="19" xfId="2" applyNumberFormat="1" applyFont="1" applyFill="1" applyBorder="1" applyAlignment="1">
      <alignment horizontal="center" vertical="center"/>
    </xf>
    <xf numFmtId="167" fontId="42" fillId="7" borderId="20" xfId="2" applyNumberFormat="1" applyFont="1" applyFill="1" applyBorder="1" applyAlignment="1">
      <alignment horizontal="center" vertical="center"/>
    </xf>
    <xf numFmtId="0" fontId="29" fillId="7" borderId="22" xfId="2" applyFont="1" applyFill="1" applyBorder="1" applyAlignment="1">
      <alignment horizontal="left" vertical="center"/>
    </xf>
    <xf numFmtId="168" fontId="29" fillId="7" borderId="22" xfId="2" applyNumberFormat="1" applyFont="1" applyFill="1" applyBorder="1" applyAlignment="1">
      <alignment horizontal="center" vertical="center"/>
    </xf>
    <xf numFmtId="168" fontId="29" fillId="7" borderId="23" xfId="2" applyNumberFormat="1" applyFont="1" applyFill="1" applyBorder="1" applyAlignment="1">
      <alignment horizontal="center" vertical="center"/>
    </xf>
    <xf numFmtId="3" fontId="29" fillId="7" borderId="22" xfId="2" applyNumberFormat="1" applyFont="1" applyFill="1" applyBorder="1" applyAlignment="1">
      <alignment horizontal="center" vertical="center"/>
    </xf>
    <xf numFmtId="3" fontId="29" fillId="7" borderId="24" xfId="2" applyNumberFormat="1" applyFont="1" applyFill="1" applyBorder="1" applyAlignment="1">
      <alignment horizontal="center" vertical="center"/>
    </xf>
    <xf numFmtId="9" fontId="27" fillId="7" borderId="21" xfId="1" applyFill="1" applyBorder="1" applyAlignment="1" applyProtection="1">
      <alignment horizontal="center" vertical="center"/>
    </xf>
    <xf numFmtId="0" fontId="44" fillId="7" borderId="0" xfId="2" applyFont="1" applyFill="1" applyBorder="1" applyAlignment="1">
      <alignment vertical="center"/>
    </xf>
    <xf numFmtId="168" fontId="29" fillId="7" borderId="25" xfId="2" applyNumberFormat="1" applyFont="1" applyFill="1" applyBorder="1" applyAlignment="1">
      <alignment horizontal="center" vertical="center"/>
    </xf>
    <xf numFmtId="168" fontId="29" fillId="7" borderId="26" xfId="2" applyNumberFormat="1" applyFont="1" applyFill="1" applyBorder="1" applyAlignment="1">
      <alignment horizontal="center" vertical="center"/>
    </xf>
    <xf numFmtId="3" fontId="29" fillId="7" borderId="25" xfId="2" applyNumberFormat="1" applyFont="1" applyFill="1" applyBorder="1" applyAlignment="1">
      <alignment horizontal="center" vertical="center"/>
    </xf>
    <xf numFmtId="3" fontId="29" fillId="7" borderId="27" xfId="2" applyNumberFormat="1" applyFont="1" applyFill="1" applyBorder="1" applyAlignment="1">
      <alignment horizontal="center" vertical="center"/>
    </xf>
    <xf numFmtId="0" fontId="27" fillId="7" borderId="0" xfId="2" applyFill="1"/>
    <xf numFmtId="168" fontId="29" fillId="7" borderId="0" xfId="2" applyNumberFormat="1" applyFont="1" applyFill="1" applyBorder="1" applyAlignment="1">
      <alignment horizontal="right" vertical="center"/>
    </xf>
    <xf numFmtId="1" fontId="29" fillId="7" borderId="19" xfId="2" applyNumberFormat="1" applyFont="1" applyFill="1" applyBorder="1" applyAlignment="1">
      <alignment horizontal="center" vertical="center"/>
    </xf>
    <xf numFmtId="1" fontId="29" fillId="7" borderId="20" xfId="2" applyNumberFormat="1" applyFont="1" applyFill="1" applyBorder="1" applyAlignment="1">
      <alignment horizontal="center" vertical="center"/>
    </xf>
    <xf numFmtId="168" fontId="29" fillId="7" borderId="0" xfId="2" applyNumberFormat="1" applyFont="1" applyFill="1" applyBorder="1" applyAlignment="1">
      <alignment vertical="center"/>
    </xf>
    <xf numFmtId="9" fontId="27" fillId="7" borderId="0" xfId="1" applyFill="1" applyBorder="1" applyAlignment="1" applyProtection="1">
      <alignment vertical="center"/>
    </xf>
    <xf numFmtId="0" fontId="34" fillId="7" borderId="0" xfId="2" applyFont="1" applyFill="1" applyBorder="1" applyAlignment="1">
      <alignment horizontal="left" vertical="center"/>
    </xf>
    <xf numFmtId="3" fontId="42" fillId="7" borderId="0" xfId="2" applyNumberFormat="1" applyFont="1" applyFill="1" applyBorder="1" applyAlignment="1">
      <alignment horizontal="left" vertical="center"/>
    </xf>
    <xf numFmtId="0" fontId="42" fillId="7" borderId="0" xfId="2" applyFont="1" applyFill="1" applyBorder="1" applyAlignment="1">
      <alignment horizontal="center" vertical="center"/>
    </xf>
    <xf numFmtId="0" fontId="42" fillId="7" borderId="19" xfId="2" applyNumberFormat="1" applyFont="1" applyFill="1" applyBorder="1" applyAlignment="1">
      <alignment horizontal="center" vertical="center" wrapText="1"/>
    </xf>
    <xf numFmtId="0" fontId="42" fillId="7" borderId="20" xfId="2" applyNumberFormat="1" applyFont="1" applyFill="1" applyBorder="1" applyAlignment="1">
      <alignment horizontal="center" vertical="center" wrapText="1"/>
    </xf>
    <xf numFmtId="0" fontId="29" fillId="7" borderId="0" xfId="2" applyFont="1" applyFill="1" applyBorder="1" applyAlignment="1">
      <alignment horizontal="center" vertical="center"/>
    </xf>
    <xf numFmtId="168" fontId="29" fillId="7" borderId="28" xfId="2" applyNumberFormat="1" applyFont="1" applyFill="1" applyBorder="1" applyAlignment="1">
      <alignment horizontal="center" vertical="center"/>
    </xf>
    <xf numFmtId="168" fontId="29" fillId="7" borderId="29" xfId="2" applyNumberFormat="1" applyFont="1" applyFill="1" applyBorder="1" applyAlignment="1">
      <alignment horizontal="center" vertical="center"/>
    </xf>
    <xf numFmtId="0" fontId="42" fillId="7" borderId="30" xfId="2" applyNumberFormat="1" applyFont="1" applyFill="1" applyBorder="1" applyAlignment="1">
      <alignment horizontal="center" vertical="center"/>
    </xf>
    <xf numFmtId="0" fontId="29" fillId="7" borderId="22" xfId="2" applyFont="1" applyFill="1" applyBorder="1" applyAlignment="1">
      <alignment horizontal="center" vertical="center"/>
    </xf>
    <xf numFmtId="168" fontId="29" fillId="7" borderId="24" xfId="2" applyNumberFormat="1" applyFont="1" applyFill="1" applyBorder="1" applyAlignment="1">
      <alignment horizontal="center" vertical="center"/>
    </xf>
    <xf numFmtId="1" fontId="29" fillId="7" borderId="31" xfId="2" applyNumberFormat="1" applyFont="1" applyFill="1" applyBorder="1" applyAlignment="1">
      <alignment horizontal="center" vertical="center"/>
    </xf>
    <xf numFmtId="9" fontId="29" fillId="7" borderId="19" xfId="1" applyFont="1" applyFill="1" applyBorder="1" applyAlignment="1" applyProtection="1">
      <alignment horizontal="center" vertical="center"/>
    </xf>
    <xf numFmtId="9" fontId="29" fillId="7" borderId="20" xfId="1" applyFont="1" applyFill="1" applyBorder="1" applyAlignment="1" applyProtection="1">
      <alignment horizontal="center" vertical="center"/>
    </xf>
    <xf numFmtId="9" fontId="29" fillId="7" borderId="31" xfId="1" applyFont="1" applyFill="1" applyBorder="1" applyAlignment="1" applyProtection="1">
      <alignment horizontal="center" vertical="center"/>
    </xf>
    <xf numFmtId="1" fontId="45" fillId="7" borderId="0" xfId="2" applyNumberFormat="1" applyFont="1" applyFill="1" applyBorder="1" applyAlignment="1">
      <alignment vertical="center"/>
    </xf>
    <xf numFmtId="1" fontId="29" fillId="7" borderId="0" xfId="2" applyNumberFormat="1" applyFont="1" applyFill="1" applyBorder="1" applyAlignment="1">
      <alignment vertical="center"/>
    </xf>
    <xf numFmtId="1" fontId="29" fillId="7" borderId="0" xfId="2" applyNumberFormat="1" applyFont="1" applyFill="1" applyBorder="1" applyAlignment="1">
      <alignment horizontal="center"/>
    </xf>
    <xf numFmtId="2" fontId="36" fillId="0" borderId="37" xfId="2" applyNumberFormat="1" applyFont="1" applyFill="1" applyBorder="1" applyAlignment="1">
      <alignment horizontal="center" vertical="center" wrapText="1"/>
    </xf>
    <xf numFmtId="9" fontId="36" fillId="0" borderId="37" xfId="1" applyFont="1" applyFill="1" applyBorder="1" applyAlignment="1">
      <alignment horizontal="right" vertical="center" wrapText="1"/>
    </xf>
    <xf numFmtId="2" fontId="36" fillId="0" borderId="38" xfId="2" applyNumberFormat="1" applyFont="1" applyFill="1" applyBorder="1" applyAlignment="1">
      <alignment horizontal="center" vertical="center" wrapText="1"/>
    </xf>
    <xf numFmtId="9" fontId="36" fillId="0" borderId="38" xfId="1" applyFont="1" applyFill="1" applyBorder="1" applyAlignment="1">
      <alignment horizontal="right" vertical="center" wrapText="1"/>
    </xf>
    <xf numFmtId="2" fontId="36" fillId="0" borderId="39" xfId="2" applyNumberFormat="1" applyFont="1" applyFill="1" applyBorder="1" applyAlignment="1">
      <alignment horizontal="center" vertical="center" wrapText="1"/>
    </xf>
    <xf numFmtId="9" fontId="36" fillId="0" borderId="39" xfId="1" applyFont="1" applyFill="1" applyBorder="1" applyAlignment="1">
      <alignment horizontal="right" vertical="center" wrapText="1"/>
    </xf>
    <xf numFmtId="0" fontId="36" fillId="8" borderId="0" xfId="2" applyFont="1" applyFill="1" applyAlignment="1">
      <alignment horizontal="left" vertical="center" wrapText="1"/>
    </xf>
    <xf numFmtId="0" fontId="27" fillId="0" borderId="0" xfId="2"/>
    <xf numFmtId="49" fontId="58" fillId="0" borderId="0" xfId="2" applyNumberFormat="1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59" fillId="0" borderId="0" xfId="2" applyFont="1"/>
    <xf numFmtId="0" fontId="57" fillId="0" borderId="0" xfId="2" applyFont="1" applyFill="1" applyAlignment="1"/>
    <xf numFmtId="0" fontId="31" fillId="0" borderId="0" xfId="2" applyFont="1" applyFill="1" applyAlignment="1"/>
    <xf numFmtId="0" fontId="27" fillId="0" borderId="0" xfId="2" applyFill="1"/>
    <xf numFmtId="0" fontId="60" fillId="0" borderId="0" xfId="2" applyFont="1" applyFill="1" applyAlignment="1"/>
    <xf numFmtId="0" fontId="27" fillId="0" borderId="0" xfId="2" applyFont="1" applyFill="1" applyAlignment="1"/>
    <xf numFmtId="0" fontId="31" fillId="0" borderId="0" xfId="2" applyFont="1" applyAlignment="1">
      <alignment vertical="center"/>
    </xf>
    <xf numFmtId="3" fontId="29" fillId="7" borderId="44" xfId="2" applyNumberFormat="1" applyFont="1" applyFill="1" applyBorder="1" applyAlignment="1">
      <alignment horizontal="center" vertical="center"/>
    </xf>
    <xf numFmtId="3" fontId="29" fillId="7" borderId="45" xfId="2" applyNumberFormat="1" applyFont="1" applyFill="1" applyBorder="1" applyAlignment="1">
      <alignment horizontal="center" vertical="center"/>
    </xf>
    <xf numFmtId="165" fontId="42" fillId="7" borderId="0" xfId="2" applyNumberFormat="1" applyFont="1" applyFill="1" applyBorder="1" applyAlignment="1">
      <alignment horizontal="center" vertical="center" wrapText="1"/>
    </xf>
    <xf numFmtId="9" fontId="27" fillId="7" borderId="0" xfId="1" applyFill="1" applyBorder="1" applyAlignment="1" applyProtection="1">
      <alignment horizontal="center" vertical="center"/>
    </xf>
    <xf numFmtId="167" fontId="42" fillId="7" borderId="48" xfId="2" applyNumberFormat="1" applyFont="1" applyFill="1" applyBorder="1" applyAlignment="1">
      <alignment horizontal="center" vertical="center"/>
    </xf>
    <xf numFmtId="9" fontId="27" fillId="7" borderId="49" xfId="1" applyFill="1" applyBorder="1" applyAlignment="1">
      <alignment horizontal="center" vertical="center"/>
    </xf>
    <xf numFmtId="9" fontId="27" fillId="7" borderId="50" xfId="1" applyFill="1" applyBorder="1" applyAlignment="1">
      <alignment horizontal="center" vertical="center"/>
    </xf>
    <xf numFmtId="49" fontId="42" fillId="7" borderId="43" xfId="2" applyNumberFormat="1" applyFont="1" applyFill="1" applyBorder="1" applyAlignment="1">
      <alignment horizontal="center" vertical="center"/>
    </xf>
    <xf numFmtId="1" fontId="29" fillId="7" borderId="43" xfId="2" applyNumberFormat="1" applyFont="1" applyFill="1" applyBorder="1" applyAlignment="1">
      <alignment horizontal="center" vertical="center"/>
    </xf>
    <xf numFmtId="9" fontId="27" fillId="7" borderId="46" xfId="1" applyFill="1" applyBorder="1" applyAlignment="1">
      <alignment horizontal="center" vertical="center"/>
    </xf>
    <xf numFmtId="0" fontId="42" fillId="7" borderId="31" xfId="2" applyNumberFormat="1" applyFont="1" applyFill="1" applyBorder="1" applyAlignment="1">
      <alignment horizontal="center" vertical="center" wrapText="1"/>
    </xf>
    <xf numFmtId="168" fontId="29" fillId="7" borderId="51" xfId="2" applyNumberFormat="1" applyFont="1" applyFill="1" applyBorder="1" applyAlignment="1">
      <alignment horizontal="center" vertical="center"/>
    </xf>
    <xf numFmtId="168" fontId="29" fillId="7" borderId="21" xfId="2" applyNumberFormat="1" applyFont="1" applyFill="1" applyBorder="1" applyAlignment="1">
      <alignment horizontal="center" vertical="center"/>
    </xf>
    <xf numFmtId="9" fontId="29" fillId="0" borderId="0" xfId="4" applyFont="1" applyFill="1"/>
    <xf numFmtId="164" fontId="27" fillId="0" borderId="0" xfId="2" applyNumberFormat="1"/>
    <xf numFmtId="0" fontId="46" fillId="0" borderId="0" xfId="31">
      <protection locked="0"/>
    </xf>
    <xf numFmtId="0" fontId="15" fillId="0" borderId="52" xfId="31" applyFont="1" applyBorder="1" applyAlignment="1">
      <alignment horizontal="center" vertical="center" wrapText="1"/>
      <protection locked="0"/>
    </xf>
    <xf numFmtId="0" fontId="16" fillId="0" borderId="53" xfId="31" applyFont="1" applyBorder="1" applyAlignment="1">
      <alignment horizontal="left" vertical="center" wrapText="1"/>
      <protection locked="0"/>
    </xf>
    <xf numFmtId="0" fontId="17" fillId="0" borderId="55" xfId="31" applyFont="1" applyBorder="1" applyAlignment="1">
      <alignment horizontal="center" vertical="center" wrapText="1"/>
      <protection locked="0"/>
    </xf>
    <xf numFmtId="0" fontId="17" fillId="0" borderId="54" xfId="31" applyFont="1" applyBorder="1" applyAlignment="1">
      <alignment horizontal="center" vertical="center" wrapText="1"/>
      <protection locked="0"/>
    </xf>
    <xf numFmtId="0" fontId="18" fillId="0" borderId="55" xfId="31" applyFont="1" applyBorder="1" applyAlignment="1">
      <alignment horizontal="center" vertical="center" wrapText="1"/>
      <protection locked="0"/>
    </xf>
    <xf numFmtId="0" fontId="18" fillId="0" borderId="54" xfId="31" applyFont="1" applyBorder="1" applyAlignment="1">
      <alignment horizontal="center" vertical="center" wrapText="1"/>
      <protection locked="0"/>
    </xf>
    <xf numFmtId="0" fontId="19" fillId="0" borderId="53" xfId="31" applyFont="1" applyBorder="1" applyAlignment="1">
      <alignment horizontal="center" vertical="center" wrapText="1"/>
      <protection locked="0"/>
    </xf>
    <xf numFmtId="0" fontId="20" fillId="0" borderId="56" xfId="31" applyFont="1" applyBorder="1" applyAlignment="1">
      <alignment horizontal="center" vertical="center" wrapText="1"/>
      <protection locked="0"/>
    </xf>
    <xf numFmtId="0" fontId="13" fillId="0" borderId="57" xfId="31" applyFont="1" applyBorder="1" applyAlignment="1">
      <alignment horizontal="center" vertical="center" wrapText="1" shrinkToFit="1"/>
      <protection locked="0"/>
    </xf>
    <xf numFmtId="0" fontId="46" fillId="0" borderId="57" xfId="31" applyFont="1" applyBorder="1" applyAlignment="1">
      <alignment horizontal="center" vertical="center" wrapText="1" shrinkToFit="1"/>
      <protection locked="0"/>
    </xf>
    <xf numFmtId="0" fontId="21" fillId="2" borderId="53" xfId="31" applyFont="1" applyFill="1" applyBorder="1" applyAlignment="1">
      <alignment vertical="center"/>
      <protection locked="0"/>
    </xf>
    <xf numFmtId="0" fontId="21" fillId="3" borderId="8" xfId="31" applyFont="1" applyFill="1" applyBorder="1" applyAlignment="1">
      <alignment vertical="center"/>
      <protection locked="0"/>
    </xf>
    <xf numFmtId="0" fontId="46" fillId="4" borderId="57" xfId="31" applyFill="1" applyBorder="1">
      <protection locked="0"/>
    </xf>
    <xf numFmtId="171" fontId="24" fillId="0" borderId="53" xfId="30" applyNumberFormat="1" applyFont="1" applyBorder="1" applyAlignment="1" applyProtection="1">
      <alignment horizontal="right" vertical="center"/>
      <protection locked="0"/>
    </xf>
    <xf numFmtId="171" fontId="25" fillId="3" borderId="8" xfId="30" applyNumberFormat="1" applyFont="1" applyFill="1" applyBorder="1" applyAlignment="1" applyProtection="1">
      <alignment horizontal="right" vertical="center"/>
      <protection locked="0"/>
    </xf>
    <xf numFmtId="171" fontId="22" fillId="0" borderId="55" xfId="30" applyNumberFormat="1" applyFont="1" applyBorder="1" applyAlignment="1" applyProtection="1">
      <alignment horizontal="right" vertical="center"/>
      <protection locked="0"/>
    </xf>
    <xf numFmtId="171" fontId="22" fillId="0" borderId="54" xfId="30" applyNumberFormat="1" applyFont="1" applyBorder="1" applyAlignment="1" applyProtection="1">
      <alignment horizontal="right" vertical="center"/>
      <protection locked="0"/>
    </xf>
    <xf numFmtId="171" fontId="22" fillId="0" borderId="58" xfId="30" applyNumberFormat="1" applyFont="1" applyBorder="1" applyAlignment="1" applyProtection="1">
      <alignment horizontal="right" vertical="center"/>
      <protection locked="0"/>
    </xf>
    <xf numFmtId="171" fontId="23" fillId="0" borderId="55" xfId="30" applyNumberFormat="1" applyFont="1" applyBorder="1" applyAlignment="1" applyProtection="1">
      <alignment horizontal="right" vertical="center"/>
      <protection locked="0"/>
    </xf>
    <xf numFmtId="171" fontId="22" fillId="3" borderId="7" xfId="30" applyNumberFormat="1" applyFont="1" applyFill="1" applyBorder="1" applyAlignment="1" applyProtection="1">
      <alignment horizontal="right" vertical="center"/>
      <protection locked="0"/>
    </xf>
    <xf numFmtId="171" fontId="22" fillId="3" borderId="1" xfId="30" applyNumberFormat="1" applyFont="1" applyFill="1" applyBorder="1" applyAlignment="1" applyProtection="1">
      <alignment horizontal="right" vertical="center"/>
      <protection locked="0"/>
    </xf>
    <xf numFmtId="171" fontId="23" fillId="3" borderId="7" xfId="30" applyNumberFormat="1" applyFont="1" applyFill="1" applyBorder="1" applyAlignment="1" applyProtection="1">
      <alignment horizontal="right" vertical="center"/>
      <protection locked="0"/>
    </xf>
    <xf numFmtId="171" fontId="23" fillId="3" borderId="1" xfId="30" applyNumberFormat="1" applyFont="1" applyFill="1" applyBorder="1" applyAlignment="1" applyProtection="1">
      <alignment horizontal="right" vertical="center"/>
      <protection locked="0"/>
    </xf>
    <xf numFmtId="171" fontId="23" fillId="0" borderId="54" xfId="30" applyNumberFormat="1" applyFont="1" applyBorder="1" applyAlignment="1" applyProtection="1">
      <alignment horizontal="right" vertical="center"/>
      <protection locked="0"/>
    </xf>
    <xf numFmtId="171" fontId="23" fillId="0" borderId="58" xfId="30" applyNumberFormat="1" applyFont="1" applyBorder="1" applyAlignment="1" applyProtection="1">
      <alignment horizontal="right" vertical="center"/>
      <protection locked="0"/>
    </xf>
    <xf numFmtId="0" fontId="42" fillId="7" borderId="59" xfId="2" applyNumberFormat="1" applyFont="1" applyFill="1" applyBorder="1" applyAlignment="1">
      <alignment horizontal="center" vertical="center" wrapText="1"/>
    </xf>
    <xf numFmtId="168" fontId="29" fillId="7" borderId="60" xfId="2" applyNumberFormat="1" applyFont="1" applyFill="1" applyBorder="1" applyAlignment="1">
      <alignment horizontal="center" vertical="center"/>
    </xf>
    <xf numFmtId="0" fontId="42" fillId="7" borderId="61" xfId="2" applyNumberFormat="1" applyFont="1" applyFill="1" applyBorder="1" applyAlignment="1">
      <alignment horizontal="center" vertical="center"/>
    </xf>
    <xf numFmtId="168" fontId="29" fillId="7" borderId="47" xfId="2" applyNumberFormat="1" applyFont="1" applyFill="1" applyBorder="1" applyAlignment="1">
      <alignment horizontal="center" vertical="center"/>
    </xf>
    <xf numFmtId="1" fontId="29" fillId="7" borderId="61" xfId="2" applyNumberFormat="1" applyFont="1" applyFill="1" applyBorder="1" applyAlignment="1">
      <alignment horizontal="center" vertical="center"/>
    </xf>
    <xf numFmtId="9" fontId="29" fillId="7" borderId="62" xfId="1" applyFont="1" applyFill="1" applyBorder="1" applyAlignment="1" applyProtection="1">
      <alignment horizontal="center" vertical="center"/>
    </xf>
    <xf numFmtId="1" fontId="29" fillId="7" borderId="28" xfId="2" applyNumberFormat="1" applyFont="1" applyFill="1" applyBorder="1" applyAlignment="1">
      <alignment horizontal="center" vertical="center"/>
    </xf>
    <xf numFmtId="1" fontId="29" fillId="7" borderId="63" xfId="2" applyNumberFormat="1" applyFont="1" applyFill="1" applyBorder="1" applyAlignment="1">
      <alignment horizontal="center" vertical="center"/>
    </xf>
    <xf numFmtId="1" fontId="29" fillId="7" borderId="27" xfId="2" applyNumberFormat="1" applyFont="1" applyFill="1" applyBorder="1" applyAlignment="1">
      <alignment horizontal="center" vertical="center"/>
    </xf>
    <xf numFmtId="1" fontId="29" fillId="7" borderId="64" xfId="2" applyNumberFormat="1" applyFont="1" applyFill="1" applyBorder="1" applyAlignment="1">
      <alignment horizontal="center" vertical="center"/>
    </xf>
    <xf numFmtId="9" fontId="26" fillId="0" borderId="53" xfId="4" applyFont="1" applyBorder="1" applyAlignment="1" applyProtection="1">
      <alignment horizontal="right" vertical="center"/>
      <protection locked="0"/>
    </xf>
    <xf numFmtId="9" fontId="22" fillId="3" borderId="9" xfId="4" applyFont="1" applyFill="1" applyBorder="1" applyAlignment="1" applyProtection="1">
      <alignment horizontal="right" vertical="center"/>
      <protection locked="0"/>
    </xf>
    <xf numFmtId="9" fontId="26" fillId="3" borderId="8" xfId="4" applyFont="1" applyFill="1" applyBorder="1" applyAlignment="1" applyProtection="1">
      <alignment horizontal="right" vertical="center"/>
      <protection locked="0"/>
    </xf>
    <xf numFmtId="9" fontId="21" fillId="3" borderId="8" xfId="4" applyFont="1" applyFill="1" applyBorder="1" applyAlignment="1" applyProtection="1">
      <alignment vertical="center"/>
      <protection locked="0"/>
    </xf>
    <xf numFmtId="9" fontId="46" fillId="0" borderId="0" xfId="4" applyProtection="1">
      <protection locked="0"/>
    </xf>
    <xf numFmtId="20" fontId="27" fillId="0" borderId="0" xfId="2" applyNumberFormat="1"/>
    <xf numFmtId="2" fontId="37" fillId="0" borderId="0" xfId="2" applyNumberFormat="1" applyFont="1" applyFill="1" applyBorder="1" applyAlignment="1">
      <alignment horizontal="left" vertical="center" shrinkToFit="1"/>
    </xf>
    <xf numFmtId="3" fontId="13" fillId="0" borderId="57" xfId="31" applyNumberFormat="1" applyFont="1" applyBorder="1">
      <protection locked="0"/>
    </xf>
    <xf numFmtId="3" fontId="46" fillId="0" borderId="57" xfId="31" applyNumberFormat="1" applyBorder="1">
      <protection locked="0"/>
    </xf>
    <xf numFmtId="3" fontId="46" fillId="4" borderId="57" xfId="31" applyNumberFormat="1" applyFill="1" applyBorder="1">
      <protection locked="0"/>
    </xf>
    <xf numFmtId="0" fontId="64" fillId="2" borderId="0" xfId="0" applyFont="1" applyFill="1">
      <protection locked="0"/>
    </xf>
    <xf numFmtId="0" fontId="65" fillId="2" borderId="0" xfId="0" applyFont="1" applyFill="1">
      <protection locked="0"/>
    </xf>
    <xf numFmtId="0" fontId="68" fillId="2" borderId="0" xfId="32" applyNumberFormat="1" applyFont="1" applyFill="1" applyBorder="1" applyAlignment="1" applyProtection="1">
      <protection locked="0"/>
    </xf>
    <xf numFmtId="11" fontId="68" fillId="2" borderId="0" xfId="32" applyNumberFormat="1" applyFont="1" applyFill="1" applyBorder="1" applyAlignment="1" applyProtection="1">
      <protection locked="0"/>
    </xf>
    <xf numFmtId="0" fontId="69" fillId="0" borderId="0" xfId="2" applyFont="1" applyFill="1" applyAlignment="1">
      <alignment vertical="center"/>
    </xf>
    <xf numFmtId="0" fontId="69" fillId="0" borderId="0" xfId="2" applyFont="1" applyFill="1"/>
    <xf numFmtId="0" fontId="70" fillId="0" borderId="0" xfId="2" applyFont="1" applyFill="1"/>
    <xf numFmtId="0" fontId="70" fillId="0" borderId="0" xfId="2" applyFont="1" applyFill="1" applyBorder="1"/>
    <xf numFmtId="0" fontId="71" fillId="0" borderId="0" xfId="2" applyFont="1" applyFill="1" applyBorder="1"/>
    <xf numFmtId="0" fontId="72" fillId="0" borderId="0" xfId="2" applyFont="1" applyFill="1"/>
    <xf numFmtId="0" fontId="71" fillId="0" borderId="0" xfId="2" applyFont="1" applyFill="1"/>
    <xf numFmtId="166" fontId="72" fillId="0" borderId="0" xfId="2" applyNumberFormat="1" applyFont="1" applyFill="1"/>
    <xf numFmtId="0" fontId="73" fillId="0" borderId="0" xfId="2" applyFont="1" applyFill="1" applyAlignment="1">
      <alignment horizontal="left" vertical="center"/>
    </xf>
    <xf numFmtId="2" fontId="73" fillId="0" borderId="0" xfId="2" applyNumberFormat="1" applyFont="1" applyFill="1" applyAlignment="1">
      <alignment horizontal="left" vertical="center"/>
    </xf>
    <xf numFmtId="2" fontId="74" fillId="0" borderId="0" xfId="2" applyNumberFormat="1" applyFont="1" applyFill="1" applyAlignment="1"/>
    <xf numFmtId="0" fontId="75" fillId="0" borderId="0" xfId="2" applyFont="1" applyFill="1"/>
    <xf numFmtId="0" fontId="71" fillId="0" borderId="37" xfId="2" applyFont="1" applyFill="1" applyBorder="1"/>
    <xf numFmtId="0" fontId="71" fillId="0" borderId="38" xfId="2" applyFont="1" applyFill="1" applyBorder="1"/>
    <xf numFmtId="0" fontId="71" fillId="0" borderId="39" xfId="2" applyFont="1" applyFill="1" applyBorder="1"/>
    <xf numFmtId="2" fontId="74" fillId="0" borderId="0" xfId="2" applyNumberFormat="1" applyFont="1" applyFill="1" applyBorder="1" applyAlignment="1">
      <alignment horizontal="left" vertical="center"/>
    </xf>
    <xf numFmtId="0" fontId="71" fillId="0" borderId="16" xfId="2" applyFont="1" applyFill="1" applyBorder="1"/>
    <xf numFmtId="0" fontId="71" fillId="0" borderId="17" xfId="2" applyFont="1" applyFill="1" applyBorder="1"/>
    <xf numFmtId="0" fontId="71" fillId="0" borderId="18" xfId="2" applyFont="1" applyFill="1" applyBorder="1"/>
    <xf numFmtId="2" fontId="66" fillId="7" borderId="0" xfId="2" applyNumberFormat="1" applyFont="1" applyFill="1" applyBorder="1" applyAlignment="1">
      <alignment horizontal="left" vertical="center"/>
    </xf>
    <xf numFmtId="0" fontId="75" fillId="7" borderId="0" xfId="2" applyFont="1" applyFill="1"/>
    <xf numFmtId="0" fontId="75" fillId="8" borderId="0" xfId="2" applyFont="1" applyFill="1"/>
    <xf numFmtId="0" fontId="70" fillId="7" borderId="0" xfId="2" applyFont="1" applyFill="1" applyBorder="1"/>
    <xf numFmtId="0" fontId="5" fillId="2" borderId="0" xfId="3" applyNumberFormat="1" applyFont="1" applyFill="1" applyBorder="1" applyAlignment="1" applyProtection="1">
      <protection locked="0"/>
    </xf>
    <xf numFmtId="0" fontId="63" fillId="2" borderId="0" xfId="3" applyNumberFormat="1" applyFont="1" applyFill="1" applyBorder="1" applyAlignment="1" applyProtection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5" fillId="2" borderId="57" xfId="31" applyFont="1" applyFill="1" applyBorder="1" applyAlignment="1">
      <alignment vertical="center" wrapText="1"/>
      <protection locked="0"/>
    </xf>
    <xf numFmtId="0" fontId="27" fillId="0" borderId="0" xfId="2" applyFont="1" applyFill="1" applyBorder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0" fontId="76" fillId="0" borderId="10" xfId="2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horizontal="center" vertical="center" wrapText="1"/>
    </xf>
    <xf numFmtId="0" fontId="36" fillId="6" borderId="32" xfId="2" applyFont="1" applyFill="1" applyBorder="1" applyAlignment="1">
      <alignment horizontal="center" vertical="center" wrapText="1"/>
    </xf>
    <xf numFmtId="0" fontId="36" fillId="6" borderId="35" xfId="2" applyFont="1" applyFill="1" applyBorder="1" applyAlignment="1">
      <alignment horizontal="center" vertical="center" wrapText="1"/>
    </xf>
    <xf numFmtId="0" fontId="36" fillId="6" borderId="33" xfId="2" applyFont="1" applyFill="1" applyBorder="1" applyAlignment="1">
      <alignment horizontal="center" vertical="center" wrapText="1"/>
    </xf>
    <xf numFmtId="0" fontId="36" fillId="6" borderId="0" xfId="2" applyFont="1" applyFill="1" applyBorder="1" applyAlignment="1">
      <alignment horizontal="center" vertical="center" wrapText="1"/>
    </xf>
    <xf numFmtId="0" fontId="36" fillId="6" borderId="34" xfId="2" applyFont="1" applyFill="1" applyBorder="1" applyAlignment="1">
      <alignment horizontal="center" vertical="center" wrapText="1"/>
    </xf>
    <xf numFmtId="0" fontId="36" fillId="6" borderId="36" xfId="2" applyFont="1" applyFill="1" applyBorder="1" applyAlignment="1">
      <alignment horizontal="center" vertical="center" wrapText="1"/>
    </xf>
    <xf numFmtId="2" fontId="77" fillId="0" borderId="0" xfId="2" applyNumberFormat="1" applyFont="1" applyFill="1" applyBorder="1" applyAlignment="1">
      <alignment horizontal="left" vertical="center" shrinkToFit="1"/>
    </xf>
    <xf numFmtId="0" fontId="30" fillId="0" borderId="0" xfId="2" applyFont="1" applyFill="1" applyBorder="1" applyAlignment="1"/>
    <xf numFmtId="0" fontId="39" fillId="0" borderId="0" xfId="2" applyFont="1" applyFill="1" applyBorder="1" applyAlignment="1">
      <alignment horizontal="center"/>
    </xf>
    <xf numFmtId="0" fontId="36" fillId="6" borderId="11" xfId="2" applyFont="1" applyFill="1" applyBorder="1" applyAlignment="1">
      <alignment horizontal="center" vertical="center" wrapText="1"/>
    </xf>
    <xf numFmtId="0" fontId="36" fillId="6" borderId="14" xfId="2" applyFont="1" applyFill="1" applyBorder="1" applyAlignment="1">
      <alignment horizontal="center" vertical="center" wrapText="1"/>
    </xf>
    <xf numFmtId="0" fontId="36" fillId="6" borderId="12" xfId="2" applyFont="1" applyFill="1" applyBorder="1" applyAlignment="1">
      <alignment horizontal="center" vertical="center" wrapText="1"/>
    </xf>
    <xf numFmtId="0" fontId="36" fillId="6" borderId="13" xfId="2" applyFont="1" applyFill="1" applyBorder="1" applyAlignment="1">
      <alignment horizontal="center" vertical="center" wrapText="1"/>
    </xf>
    <xf numFmtId="0" fontId="36" fillId="6" borderId="15" xfId="2" applyFont="1" applyFill="1" applyBorder="1" applyAlignment="1">
      <alignment horizontal="center" vertical="center" wrapText="1"/>
    </xf>
  </cellXfs>
  <cellStyles count="33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" xfId="32" builtinId="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Normal 4" xfId="31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'!$B$11:$B$12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78-B8A4-596A6BBF0FB8}"/>
            </c:ext>
          </c:extLst>
        </c:ser>
        <c:ser>
          <c:idx val="1"/>
          <c:order val="1"/>
          <c:tx>
            <c:strRef>
              <c:f>'Cotations_cereales '!$D$11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'!$D$13:$D$24</c:f>
              <c:numCache>
                <c:formatCode>0.00</c:formatCode>
                <c:ptCount val="12"/>
                <c:pt idx="0">
                  <c:v>234.72</c:v>
                </c:pt>
                <c:pt idx="1">
                  <c:v>227.42</c:v>
                </c:pt>
                <c:pt idx="2">
                  <c:v>227.71</c:v>
                </c:pt>
                <c:pt idx="3">
                  <c:v>229.89</c:v>
                </c:pt>
                <c:pt idx="4">
                  <c:v>221.76</c:v>
                </c:pt>
                <c:pt idx="5">
                  <c:v>218.34</c:v>
                </c:pt>
                <c:pt idx="6">
                  <c:v>211.66</c:v>
                </c:pt>
                <c:pt idx="7">
                  <c:v>198.59842105263158</c:v>
                </c:pt>
                <c:pt idx="8">
                  <c:v>183.01307692307694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78-B8A4-596A6BBF0FB8}"/>
            </c:ext>
          </c:extLst>
        </c:ser>
        <c:ser>
          <c:idx val="2"/>
          <c:order val="2"/>
          <c:tx>
            <c:strRef>
              <c:f>'Cotations_cereales '!$C$11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'!$C$13:$C$24</c:f>
              <c:numCache>
                <c:formatCode>0.00</c:formatCode>
                <c:ptCount val="12"/>
                <c:pt idx="0">
                  <c:v>345.62399999999997</c:v>
                </c:pt>
                <c:pt idx="1">
                  <c:v>330.31681818181818</c:v>
                </c:pt>
                <c:pt idx="2">
                  <c:v>333.70300000000003</c:v>
                </c:pt>
                <c:pt idx="3">
                  <c:v>344.16300000000001</c:v>
                </c:pt>
                <c:pt idx="4">
                  <c:v>325.29000000000008</c:v>
                </c:pt>
                <c:pt idx="5">
                  <c:v>304.89470588235292</c:v>
                </c:pt>
                <c:pt idx="6">
                  <c:v>291.34117647058832</c:v>
                </c:pt>
                <c:pt idx="7">
                  <c:v>283.88849999999996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221.85277777777776</c:v>
                </c:pt>
                <c:pt idx="11">
                  <c:v>230.72500000000002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78-B8A4-596A6BB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'!$B$49:$B$50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'!$B$51:$B$62</c:f>
              <c:numCache>
                <c:formatCode>0.00</c:formatCode>
                <c:ptCount val="12"/>
                <c:pt idx="0">
                  <c:v>182.48405525846701</c:v>
                </c:pt>
                <c:pt idx="1">
                  <c:v>180.55569561157796</c:v>
                </c:pt>
                <c:pt idx="2">
                  <c:v>178.18738095238095</c:v>
                </c:pt>
                <c:pt idx="3">
                  <c:v>184.64072463768113</c:v>
                </c:pt>
                <c:pt idx="4">
                  <c:v>186.70588554720135</c:v>
                </c:pt>
                <c:pt idx="5">
                  <c:v>186.20027777777779</c:v>
                </c:pt>
                <c:pt idx="6">
                  <c:v>191.66384360376463</c:v>
                </c:pt>
                <c:pt idx="7">
                  <c:v>194.64973949579831</c:v>
                </c:pt>
                <c:pt idx="8">
                  <c:v>212.07763713260425</c:v>
                </c:pt>
                <c:pt idx="9">
                  <c:v>211.63387279473196</c:v>
                </c:pt>
                <c:pt idx="10">
                  <c:v>221.01069635627533</c:v>
                </c:pt>
                <c:pt idx="11">
                  <c:v>214.10492063492066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762-811A-1665ED4CBD61}"/>
            </c:ext>
          </c:extLst>
        </c:ser>
        <c:ser>
          <c:idx val="1"/>
          <c:order val="1"/>
          <c:tx>
            <c:strRef>
              <c:f>'Cotations_cereales '!$D$49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'!$D$51:$D$62</c:f>
              <c:numCache>
                <c:formatCode>0.00</c:formatCode>
                <c:ptCount val="12"/>
                <c:pt idx="0">
                  <c:v>238.38</c:v>
                </c:pt>
                <c:pt idx="1">
                  <c:v>230.25</c:v>
                </c:pt>
                <c:pt idx="2">
                  <c:v>214.74</c:v>
                </c:pt>
                <c:pt idx="3">
                  <c:v>204.21</c:v>
                </c:pt>
                <c:pt idx="4">
                  <c:v>205.45</c:v>
                </c:pt>
                <c:pt idx="5">
                  <c:v>200.19</c:v>
                </c:pt>
                <c:pt idx="6">
                  <c:v>192.21</c:v>
                </c:pt>
                <c:pt idx="7">
                  <c:v>177.34</c:v>
                </c:pt>
                <c:pt idx="8">
                  <c:v>180.24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762-811A-1665ED4CBD61}"/>
            </c:ext>
          </c:extLst>
        </c:ser>
        <c:ser>
          <c:idx val="2"/>
          <c:order val="2"/>
          <c:tx>
            <c:strRef>
              <c:f>'Cotations_cereales '!$C$49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'!$C$51:$C$62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762-811A-1665ED4C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'!$B$30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'!$B$32:$B$43</c:f>
              <c:numCache>
                <c:formatCode>0.00</c:formatCode>
                <c:ptCount val="12"/>
                <c:pt idx="0">
                  <c:v>303.17030214424949</c:v>
                </c:pt>
                <c:pt idx="1">
                  <c:v>316.75413943355119</c:v>
                </c:pt>
                <c:pt idx="2">
                  <c:v>310.55544590643274</c:v>
                </c:pt>
                <c:pt idx="3">
                  <c:v>323.95260494987468</c:v>
                </c:pt>
                <c:pt idx="4">
                  <c:v>324.47502645502647</c:v>
                </c:pt>
                <c:pt idx="5">
                  <c:v>321.65347222222221</c:v>
                </c:pt>
                <c:pt idx="6">
                  <c:v>351.10460737179483</c:v>
                </c:pt>
                <c:pt idx="7">
                  <c:v>331.83035714285717</c:v>
                </c:pt>
                <c:pt idx="8">
                  <c:v>325.6205393939394</c:v>
                </c:pt>
                <c:pt idx="9">
                  <c:v>321.45825000000002</c:v>
                </c:pt>
                <c:pt idx="10">
                  <c:v>324.46400000000006</c:v>
                </c:pt>
                <c:pt idx="11">
                  <c:v>334.18151515151516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E8B-8998-83362B29BF51}"/>
            </c:ext>
          </c:extLst>
        </c:ser>
        <c:ser>
          <c:idx val="1"/>
          <c:order val="1"/>
          <c:tx>
            <c:strRef>
              <c:f>'Cotations_cereales '!$D$30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'!$D$32:$D$43</c:f>
              <c:numCache>
                <c:formatCode>0.00</c:formatCode>
                <c:ptCount val="12"/>
                <c:pt idx="0">
                  <c:v>369.7</c:v>
                </c:pt>
                <c:pt idx="1">
                  <c:v>426.25</c:v>
                </c:pt>
                <c:pt idx="2">
                  <c:v>389.75</c:v>
                </c:pt>
                <c:pt idx="3">
                  <c:v>392.65</c:v>
                </c:pt>
                <c:pt idx="4">
                  <c:v>376.92</c:v>
                </c:pt>
                <c:pt idx="5">
                  <c:v>358.67</c:v>
                </c:pt>
                <c:pt idx="6">
                  <c:v>357.4</c:v>
                </c:pt>
                <c:pt idx="7">
                  <c:v>349.38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6-4E8B-8998-83362B29BF51}"/>
            </c:ext>
          </c:extLst>
        </c:ser>
        <c:ser>
          <c:idx val="2"/>
          <c:order val="2"/>
          <c:tx>
            <c:strRef>
              <c:f>'Cotations_cereales '!$C$30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'!$C$32:$C$43</c:f>
              <c:numCache>
                <c:formatCode>0.00</c:formatCode>
                <c:ptCount val="12"/>
                <c:pt idx="0">
                  <c:v>525</c:v>
                </c:pt>
                <c:pt idx="1">
                  <c:v>461</c:v>
                </c:pt>
                <c:pt idx="2">
                  <c:v>454.08333333333331</c:v>
                </c:pt>
                <c:pt idx="3">
                  <c:v>484.42499999999995</c:v>
                </c:pt>
                <c:pt idx="4">
                  <c:v>484.51333333333332</c:v>
                </c:pt>
                <c:pt idx="5">
                  <c:v>475.9375</c:v>
                </c:pt>
                <c:pt idx="6">
                  <c:v>452.58333333333331</c:v>
                </c:pt>
                <c:pt idx="7">
                  <c:v>436.46428571428572</c:v>
                </c:pt>
                <c:pt idx="8">
                  <c:v>425.983</c:v>
                </c:pt>
                <c:pt idx="9">
                  <c:v>408.83333333333331</c:v>
                </c:pt>
                <c:pt idx="10">
                  <c:v>372.5</c:v>
                </c:pt>
                <c:pt idx="11">
                  <c:v>368.91666666666669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6-4E8B-8998-83362B29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49680693928"/>
          <c:y val="0.18775867342549726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Cotations_oleoproteagineux!$B$3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Cotations_oleoproteagineux!$B$4:$B$16</c15:sqref>
                  </c15:fullRef>
                </c:ext>
              </c:extLst>
              <c:f>Cotations_oleoproteagineux!$B$5:$B$16</c:f>
              <c:numCache>
                <c:formatCode>0.00</c:formatCode>
                <c:ptCount val="12"/>
                <c:pt idx="0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2-4166-AC96-E93C7379880E}"/>
            </c:ext>
          </c:extLst>
        </c:ser>
        <c:ser>
          <c:idx val="1"/>
          <c:order val="1"/>
          <c:tx>
            <c:strRef>
              <c:f>Cotations_oleoproteagineux!$C$3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Cotations_oleoproteagineux!$C$4:$C$16</c15:sqref>
                  </c15:fullRef>
                </c:ext>
              </c:extLst>
              <c:f>Cotations_oleoproteagineux!$C$5:$C$16</c:f>
              <c:numCache>
                <c:formatCode>0.00</c:formatCode>
                <c:ptCount val="12"/>
                <c:pt idx="0">
                  <c:v>652.33333333333337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627.375</c:v>
                </c:pt>
                <c:pt idx="4">
                  <c:v>617</c:v>
                </c:pt>
                <c:pt idx="5">
                  <c:v>572.66666666666663</c:v>
                </c:pt>
                <c:pt idx="6">
                  <c:v>548.875</c:v>
                </c:pt>
                <c:pt idx="7">
                  <c:v>541.25</c:v>
                </c:pt>
                <c:pt idx="8">
                  <c:v>471.1</c:v>
                </c:pt>
                <c:pt idx="9">
                  <c:v>427.16666666666669</c:v>
                </c:pt>
                <c:pt idx="10">
                  <c:v>416.16666666666669</c:v>
                </c:pt>
                <c:pt idx="11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2-4166-AC96-E93C7379880E}"/>
            </c:ext>
          </c:extLst>
        </c:ser>
        <c:ser>
          <c:idx val="2"/>
          <c:order val="2"/>
          <c:tx>
            <c:strRef>
              <c:f>Cotations_oleoproteagineux!$D$3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Cotations_oleoproteagineux!$A$4:$A$16</c15:sqref>
                  </c15:fullRef>
                </c:ext>
              </c:extLst>
              <c:f>Cotations_oleoproteagineux!$A$5:$A$16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Cotations_oleoproteagineux!$D$4:$D$16</c15:sqref>
                  </c15:fullRef>
                </c:ext>
              </c:extLst>
              <c:f>Cotations_oleoproteagineux!$D$5:$D$16</c:f>
              <c:numCache>
                <c:formatCode>0.00</c:formatCode>
                <c:ptCount val="12"/>
                <c:pt idx="0">
                  <c:v>471.17</c:v>
                </c:pt>
                <c:pt idx="1">
                  <c:v>453</c:v>
                </c:pt>
                <c:pt idx="2">
                  <c:v>458</c:v>
                </c:pt>
                <c:pt idx="3">
                  <c:v>437.38</c:v>
                </c:pt>
                <c:pt idx="4">
                  <c:v>438</c:v>
                </c:pt>
                <c:pt idx="5">
                  <c:v>428</c:v>
                </c:pt>
                <c:pt idx="6">
                  <c:v>423.125</c:v>
                </c:pt>
                <c:pt idx="7">
                  <c:v>413.6</c:v>
                </c:pt>
                <c:pt idx="8">
                  <c:v>433.5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2-4166-AC96-E93C7379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Cotations_oleoproteagineux!$B$21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Cotations_oleoproteagineux!$B$22:$B$34</c15:sqref>
                  </c15:fullRef>
                </c:ext>
              </c:extLst>
              <c:f>Cotations_oleoproteagineux!$B$23:$B$34</c:f>
              <c:numCache>
                <c:formatCode>0.00</c:formatCode>
                <c:ptCount val="12"/>
                <c:pt idx="0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4-4C53-B936-56CE40877B5D}"/>
            </c:ext>
          </c:extLst>
        </c:ser>
        <c:ser>
          <c:idx val="1"/>
          <c:order val="1"/>
          <c:tx>
            <c:strRef>
              <c:f>Cotations_oleoproteagineux!$C$21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Cotations_oleoproteagineux!$C$22:$C$34</c15:sqref>
                  </c15:fullRef>
                </c:ext>
              </c:extLst>
              <c:f>Cotations_oleoproteagineux!$C$23:$C$34</c:f>
              <c:numCache>
                <c:formatCode>0.00</c:formatCode>
                <c:ptCount val="12"/>
                <c:pt idx="0">
                  <c:v>636.66666666666663</c:v>
                </c:pt>
                <c:pt idx="1">
                  <c:v>642.5</c:v>
                </c:pt>
                <c:pt idx="2">
                  <c:v>585</c:v>
                </c:pt>
                <c:pt idx="3">
                  <c:v>639.375</c:v>
                </c:pt>
                <c:pt idx="4">
                  <c:v>635</c:v>
                </c:pt>
                <c:pt idx="5">
                  <c:v>578.33333333333337</c:v>
                </c:pt>
                <c:pt idx="6">
                  <c:v>562.5</c:v>
                </c:pt>
                <c:pt idx="7">
                  <c:v>560</c:v>
                </c:pt>
                <c:pt idx="8">
                  <c:v>477.5</c:v>
                </c:pt>
                <c:pt idx="9">
                  <c:v>458.125</c:v>
                </c:pt>
                <c:pt idx="10">
                  <c:v>431.66666666666669</c:v>
                </c:pt>
                <c:pt idx="1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C53-B936-56CE40877B5D}"/>
            </c:ext>
          </c:extLst>
        </c:ser>
        <c:ser>
          <c:idx val="2"/>
          <c:order val="2"/>
          <c:tx>
            <c:strRef>
              <c:f>Cotations_oleoproteagineux!$D$21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Cotations_oleoproteagineux!$A$22:$A$34</c15:sqref>
                  </c15:fullRef>
                </c:ext>
              </c:extLst>
              <c:f>Cotations_oleoproteagineux!$A$23:$A$34</c:f>
              <c:strCache>
                <c:ptCount val="12"/>
                <c:pt idx="0">
                  <c:v>juillet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Cotations_oleoproteagineux!$D$22:$D$34</c15:sqref>
                  </c15:fullRef>
                </c:ext>
              </c:extLst>
              <c:f>Cotations_oleoproteagineux!$D$23:$D$34</c:f>
              <c:numCache>
                <c:formatCode>0.00</c:formatCode>
                <c:ptCount val="12"/>
                <c:pt idx="0">
                  <c:v>466.67</c:v>
                </c:pt>
                <c:pt idx="1">
                  <c:v>441.67</c:v>
                </c:pt>
                <c:pt idx="2">
                  <c:v>418.13</c:v>
                </c:pt>
                <c:pt idx="3">
                  <c:v>406.25</c:v>
                </c:pt>
                <c:pt idx="4">
                  <c:v>417.5</c:v>
                </c:pt>
                <c:pt idx="5">
                  <c:v>422.5</c:v>
                </c:pt>
                <c:pt idx="6">
                  <c:v>406.25</c:v>
                </c:pt>
                <c:pt idx="7">
                  <c:v>398</c:v>
                </c:pt>
                <c:pt idx="8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4-4C53-B936-56CE408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'Evol.sole-régionale_Blés'!$B$10:$Y$10</c:f>
              <c:numCache>
                <c:formatCode>yyyy</c:formatCode>
                <c:ptCount val="2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</c:numCache>
            </c:numRef>
          </c:cat>
          <c:val>
            <c:numRef>
              <c:f>'Evol.sole-régionale_Blés'!$B$11:$Y$11</c:f>
              <c:numCache>
                <c:formatCode>#\ ##0\ </c:formatCode>
                <c:ptCount val="24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0">
                  <c:v>243.4</c:v>
                </c:pt>
                <c:pt idx="23" formatCode="0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'Evol.sole-régionale_Blés'!$B$10:$Y$10</c:f>
              <c:numCache>
                <c:formatCode>yyyy</c:formatCode>
                <c:ptCount val="24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</c:numCache>
            </c:numRef>
          </c:cat>
          <c:val>
            <c:numRef>
              <c:f>'Evol.sole-régionale_Blés'!$B$12:$Y$12</c:f>
              <c:numCache>
                <c:formatCode>#\ ##0\ </c:formatCode>
                <c:ptCount val="24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0">
                  <c:v>85.4</c:v>
                </c:pt>
                <c:pt idx="23" formatCode="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'Evol.sole-régionale_Blés'!$B$54:$P$54</c:f>
              <c:numCache>
                <c:formatCode>#\ ##0\ </c:formatCode>
                <c:ptCount val="15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>
                  <c:v>29</c:v>
                </c:pt>
                <c:pt idx="13">
                  <c:v>29</c:v>
                </c:pt>
                <c:pt idx="14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'Evol.sole-régionale_Blés'!$B$55:$P$55</c:f>
              <c:numCache>
                <c:formatCode>#\ ##0\ </c:formatCode>
                <c:ptCount val="15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'Evol.sole-régionale_Blés'!$B$56:$P$56</c:f>
              <c:numCache>
                <c:formatCode>#\ ##0\ </c:formatCode>
                <c:ptCount val="15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'Evol.sole-régionale_Blés'!$B$51:$P$51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Moyenne2018/2022</c:v>
                </c:pt>
              </c:strCache>
            </c:strRef>
          </c:cat>
          <c:val>
            <c:numRef>
              <c:f>'Evol.sole-régionale_Blés'!$B$57:$P$57</c:f>
              <c:numCache>
                <c:formatCode>#\ ##0\ </c:formatCode>
                <c:ptCount val="15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17638</xdr:colOff>
      <xdr:row>0</xdr:row>
      <xdr:rowOff>23518</xdr:rowOff>
    </xdr:from>
    <xdr:to>
      <xdr:col>18</xdr:col>
      <xdr:colOff>46213</xdr:colOff>
      <xdr:row>8</xdr:row>
      <xdr:rowOff>23518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17638" y="23518"/>
          <a:ext cx="14798205" cy="1334676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</a:t>
          </a: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Production de blé tendre en 2023 </a:t>
          </a:r>
          <a:r>
            <a:rPr lang="fr-FR" sz="1000" b="0" i="0" u="none" strike="noStrike" baseline="30000">
              <a:solidFill>
                <a:schemeClr val="bg1"/>
              </a:solidFill>
              <a:latin typeface="Arial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   France  35Mt, Occitanie : 10</a:t>
          </a:r>
          <a:r>
            <a:rPr lang="fr-FR" sz="10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° </a:t>
          </a: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 Production de Blé dur en 2023 </a:t>
          </a:r>
          <a:r>
            <a:rPr lang="fr-FR" sz="1000" b="0" i="0" u="none" strike="noStrike" baseline="30000">
              <a:solidFill>
                <a:schemeClr val="bg1"/>
              </a:solidFill>
              <a:latin typeface="Arial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       France : 1,28Mt,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Production Tournesol en 2023 </a:t>
          </a:r>
          <a:r>
            <a:rPr lang="fr-FR" sz="1000" b="0" i="0" u="none" strike="noStrike" baseline="30000">
              <a:solidFill>
                <a:schemeClr val="bg1"/>
              </a:solidFill>
              <a:latin typeface="Arial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      France : 2,07Mt,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Production de Soja en 2023 </a:t>
          </a:r>
          <a:r>
            <a:rPr lang="fr-FR" sz="1000" b="0" i="0" u="none" strike="noStrike" baseline="30000">
              <a:solidFill>
                <a:schemeClr val="bg1"/>
              </a:solidFill>
              <a:latin typeface="Arial"/>
              <a:cs typeface="Arial"/>
            </a:rPr>
            <a:t>(4)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                                            France : 0,38 Mt Occitanie :  </a:t>
          </a:r>
          <a:r>
            <a:rPr lang="fr-FR" sz="1000" b="0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3°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2738735" cy="939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177660</xdr:colOff>
      <xdr:row>43</xdr:row>
      <xdr:rowOff>110490</xdr:rowOff>
    </xdr:from>
    <xdr:to>
      <xdr:col>29</xdr:col>
      <xdr:colOff>107386</xdr:colOff>
      <xdr:row>62</xdr:row>
      <xdr:rowOff>46708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olitiques_publiques/13-connaissances_statistiques/06-suivi_conjoncturel/05-grandes%20cultures/2024/occitanie/gcmens_76_fin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mens_76"/>
    </sheetNames>
    <sheetDataSet>
      <sheetData sheetId="0">
        <row r="724">
          <cell r="K724">
            <v>258782</v>
          </cell>
        </row>
        <row r="727">
          <cell r="K727">
            <v>87975.4</v>
          </cell>
        </row>
        <row r="728">
          <cell r="K728">
            <v>4912.6000000000004</v>
          </cell>
        </row>
        <row r="729">
          <cell r="K729">
            <v>95790</v>
          </cell>
        </row>
        <row r="730">
          <cell r="K730">
            <v>11274</v>
          </cell>
        </row>
        <row r="734">
          <cell r="K734">
            <v>9623</v>
          </cell>
        </row>
        <row r="740">
          <cell r="K740">
            <v>32736</v>
          </cell>
        </row>
        <row r="751">
          <cell r="K751">
            <v>33782</v>
          </cell>
        </row>
        <row r="761">
          <cell r="K761">
            <v>5953.5999999999995</v>
          </cell>
        </row>
        <row r="762">
          <cell r="K762">
            <v>11480.600000000002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4"/>
  <sheetViews>
    <sheetView zoomScaleNormal="100" workbookViewId="0">
      <selection activeCell="F42" sqref="F42"/>
    </sheetView>
  </sheetViews>
  <sheetFormatPr baseColWidth="10" defaultColWidth="8.85546875" defaultRowHeight="12.75"/>
  <cols>
    <col min="1" max="10" width="10.85546875" style="1" customWidth="1"/>
    <col min="11" max="11" width="24.85546875" style="1" customWidth="1"/>
    <col min="12" max="16" width="10.85546875" style="1" customWidth="1"/>
    <col min="17" max="1023" width="10.5703125" style="1" customWidth="1"/>
    <col min="1024" max="1025" width="11.42578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8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5"/>
      <c r="M4" s="5"/>
      <c r="N4" s="5"/>
      <c r="O4" s="5"/>
      <c r="P4" s="5"/>
    </row>
    <row r="6" spans="1:16" ht="18">
      <c r="A6" s="3" t="s">
        <v>2</v>
      </c>
    </row>
    <row r="7" spans="1:16" ht="1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8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8">
      <c r="A11" s="3" t="s">
        <v>4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8">
      <c r="A13" s="3" t="s">
        <v>5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8">
      <c r="A14" s="3" t="s">
        <v>6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8">
      <c r="A16" s="183" t="s">
        <v>7</v>
      </c>
    </row>
    <row r="17" spans="1:16" ht="18">
      <c r="A17" s="9"/>
    </row>
    <row r="18" spans="1:16" ht="18">
      <c r="A18" s="9" t="s">
        <v>130</v>
      </c>
    </row>
    <row r="19" spans="1:16" ht="18">
      <c r="A19" s="3" t="s">
        <v>146</v>
      </c>
    </row>
    <row r="20" spans="1:16" ht="18">
      <c r="A20" s="3" t="s">
        <v>8</v>
      </c>
    </row>
    <row r="21" spans="1:16" ht="18">
      <c r="A21" s="3" t="s">
        <v>9</v>
      </c>
    </row>
    <row r="22" spans="1:16" ht="18">
      <c r="A22" s="3" t="s">
        <v>10</v>
      </c>
    </row>
    <row r="23" spans="1:16" ht="18">
      <c r="A23" s="3" t="s">
        <v>11</v>
      </c>
    </row>
    <row r="26" spans="1:16" ht="15.75" customHeight="1">
      <c r="A26" s="2" t="s">
        <v>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8">
      <c r="A28" s="184" t="s">
        <v>149</v>
      </c>
    </row>
    <row r="29" spans="1:16" ht="18">
      <c r="A29" s="3" t="s">
        <v>13</v>
      </c>
    </row>
    <row r="31" spans="1:16" ht="15.75" customHeight="1">
      <c r="A31" s="2" t="s">
        <v>14</v>
      </c>
    </row>
    <row r="32" spans="1:16" ht="18">
      <c r="A32" s="5"/>
    </row>
    <row r="33" spans="1:16" ht="18">
      <c r="A33" s="5" t="s">
        <v>15</v>
      </c>
    </row>
    <row r="34" spans="1:16" ht="18">
      <c r="A34" s="211" t="s">
        <v>148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5"/>
      <c r="M34" s="5"/>
      <c r="N34" s="5"/>
      <c r="O34" s="5"/>
      <c r="P34" s="5"/>
    </row>
    <row r="35" spans="1:16" ht="18">
      <c r="A35" s="10" t="s">
        <v>16</v>
      </c>
    </row>
    <row r="36" spans="1:16" ht="18">
      <c r="A36" s="212" t="s">
        <v>147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5"/>
      <c r="M36" s="5"/>
      <c r="N36" s="5"/>
      <c r="O36" s="5"/>
      <c r="P36" s="5"/>
    </row>
    <row r="37" spans="1:16" ht="18">
      <c r="A37" s="11" t="s">
        <v>17</v>
      </c>
    </row>
    <row r="38" spans="1:16" ht="18">
      <c r="A38" s="12"/>
    </row>
    <row r="39" spans="1:16" ht="18">
      <c r="A39" s="183" t="s">
        <v>18</v>
      </c>
    </row>
    <row r="40" spans="1:16" ht="18">
      <c r="A40" s="185" t="s">
        <v>19</v>
      </c>
    </row>
    <row r="41" spans="1:16" ht="18">
      <c r="A41" s="186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8">
      <c r="A42" s="185" t="s">
        <v>21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32" customFormat="1" ht="18">
      <c r="A43" s="185" t="s">
        <v>150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8">
      <c r="A44" s="185" t="s">
        <v>22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_production!A1" display="Calendrier des estimations de production"/>
    <hyperlink ref="A41" location="'GC_EstimProduction2023-2024'!A1" display="Estimations de production campagne"/>
    <hyperlink ref="A42" location="'Cotations_cereales '!A1" display="Cotations des céréales"/>
    <hyperlink ref="A44" location="'Evol.sole-régionale_Blés'!A1" display="Evolution de la sole régionale des blés"/>
    <hyperlink ref="A43" location="Cotations_oleoproteagineux!A1" display="Cotations des oléoprotéagineux"/>
  </hyperlinks>
  <pageMargins left="0" right="0" top="0.13888888888888901" bottom="0.13888888888888901" header="0" footer="0"/>
  <pageSetup paperSize="9" firstPageNumber="0" pageOrder="overThenDown" orientation="portrait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5546875" defaultRowHeight="12.75"/>
  <cols>
    <col min="1" max="1" width="24.85546875" style="1" customWidth="1"/>
    <col min="2" max="13" width="8.42578125" style="1" customWidth="1"/>
    <col min="14" max="1023" width="10.5703125" style="1" customWidth="1"/>
    <col min="1024" max="1025" width="11.42578125" style="1" customWidth="1"/>
  </cols>
  <sheetData>
    <row r="1" spans="1:13" ht="15" customHeight="1">
      <c r="A1" s="13" t="s">
        <v>23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18">
      <c r="A3" s="16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">
      <c r="A4" s="17" t="s">
        <v>25</v>
      </c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>
      <c r="A5" s="18"/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</row>
    <row r="6" spans="1:13" ht="18">
      <c r="A6" s="20" t="s">
        <v>38</v>
      </c>
      <c r="B6" s="21"/>
      <c r="C6" s="22"/>
      <c r="D6" s="16"/>
      <c r="E6" s="22"/>
      <c r="F6" s="16"/>
      <c r="G6" s="22"/>
      <c r="H6" s="16"/>
      <c r="I6" s="23"/>
      <c r="J6" s="17"/>
      <c r="K6" s="23"/>
      <c r="L6" s="17"/>
      <c r="M6" s="23"/>
    </row>
    <row r="7" spans="1:13" ht="18">
      <c r="A7" s="14" t="s">
        <v>39</v>
      </c>
      <c r="B7" s="24"/>
      <c r="C7" s="24"/>
      <c r="D7" s="15"/>
      <c r="E7" s="24"/>
      <c r="F7" s="15"/>
      <c r="G7" s="24"/>
      <c r="H7" s="15"/>
      <c r="I7" s="24"/>
      <c r="J7" s="15"/>
      <c r="K7" s="24"/>
      <c r="L7" s="15"/>
      <c r="M7" s="24"/>
    </row>
    <row r="8" spans="1:13" ht="18">
      <c r="A8" s="14" t="s">
        <v>40</v>
      </c>
      <c r="B8" s="22"/>
      <c r="C8" s="22"/>
      <c r="D8" s="16"/>
      <c r="E8" s="22"/>
      <c r="F8" s="16"/>
      <c r="G8" s="22"/>
      <c r="H8" s="16"/>
      <c r="I8" s="23"/>
      <c r="J8" s="17"/>
      <c r="K8" s="23"/>
      <c r="L8" s="17"/>
      <c r="M8" s="23"/>
    </row>
    <row r="9" spans="1:13" ht="18">
      <c r="A9" s="14" t="s">
        <v>41</v>
      </c>
      <c r="B9" s="24"/>
      <c r="C9" s="24"/>
      <c r="D9" s="15"/>
      <c r="E9" s="24"/>
      <c r="F9" s="15"/>
      <c r="G9" s="24"/>
      <c r="H9" s="15"/>
      <c r="I9" s="24"/>
      <c r="J9" s="15"/>
      <c r="K9" s="24"/>
      <c r="L9" s="15"/>
      <c r="M9" s="24"/>
    </row>
    <row r="10" spans="1:13" ht="18">
      <c r="A10" s="14" t="s">
        <v>42</v>
      </c>
      <c r="B10" s="22"/>
      <c r="C10" s="22"/>
      <c r="D10" s="16"/>
      <c r="E10" s="22"/>
      <c r="F10" s="16"/>
      <c r="G10" s="22"/>
      <c r="H10" s="17"/>
      <c r="I10" s="23"/>
      <c r="J10" s="17"/>
      <c r="K10" s="23"/>
      <c r="L10" s="17"/>
      <c r="M10" s="23"/>
    </row>
    <row r="11" spans="1:13" ht="18">
      <c r="A11" s="14" t="s">
        <v>43</v>
      </c>
      <c r="B11" s="24"/>
      <c r="C11" s="24"/>
      <c r="D11" s="15"/>
      <c r="E11" s="24"/>
      <c r="F11" s="15"/>
      <c r="G11" s="24"/>
      <c r="H11" s="15"/>
      <c r="I11" s="24"/>
      <c r="J11" s="15"/>
      <c r="K11" s="24"/>
      <c r="L11" s="15"/>
      <c r="M11" s="24"/>
    </row>
    <row r="12" spans="1:13" ht="18">
      <c r="A12" s="14" t="s">
        <v>44</v>
      </c>
      <c r="B12" s="22"/>
      <c r="C12" s="22"/>
      <c r="D12" s="16"/>
      <c r="E12" s="22"/>
      <c r="F12" s="16"/>
      <c r="G12" s="22"/>
      <c r="H12" s="16"/>
      <c r="I12" s="23"/>
      <c r="J12" s="17"/>
      <c r="K12" s="23"/>
      <c r="L12" s="17"/>
      <c r="M12" s="23"/>
    </row>
    <row r="13" spans="1:13" ht="18">
      <c r="A13" s="14" t="s">
        <v>45</v>
      </c>
      <c r="B13" s="24"/>
      <c r="C13" s="24"/>
      <c r="D13" s="15"/>
      <c r="E13" s="24"/>
      <c r="F13" s="15"/>
      <c r="G13" s="24"/>
      <c r="H13" s="15"/>
      <c r="I13" s="24"/>
      <c r="J13" s="15"/>
      <c r="K13" s="24"/>
      <c r="L13" s="15"/>
      <c r="M13" s="24"/>
    </row>
    <row r="14" spans="1:13" ht="18">
      <c r="A14" s="14" t="s">
        <v>46</v>
      </c>
      <c r="B14" s="22"/>
      <c r="C14" s="22"/>
      <c r="D14" s="16"/>
      <c r="E14" s="22"/>
      <c r="F14" s="16"/>
      <c r="G14" s="22"/>
      <c r="H14" s="16"/>
      <c r="I14" s="23"/>
      <c r="J14" s="17"/>
      <c r="K14" s="23"/>
      <c r="L14" s="17"/>
      <c r="M14" s="23"/>
    </row>
    <row r="15" spans="1:13" ht="18">
      <c r="A15" s="14" t="s">
        <v>47</v>
      </c>
      <c r="B15" s="22"/>
      <c r="C15" s="22"/>
      <c r="D15" s="16"/>
      <c r="E15" s="22"/>
      <c r="F15" s="16"/>
      <c r="G15" s="22"/>
      <c r="H15" s="16"/>
      <c r="I15" s="23"/>
      <c r="J15" s="17"/>
      <c r="K15" s="23"/>
      <c r="L15" s="17"/>
      <c r="M15" s="23"/>
    </row>
    <row r="16" spans="1:13" ht="18">
      <c r="A16" s="14" t="s">
        <v>48</v>
      </c>
      <c r="B16" s="24"/>
      <c r="C16" s="24"/>
      <c r="D16" s="15"/>
      <c r="E16" s="24"/>
      <c r="F16" s="15"/>
      <c r="G16" s="22"/>
      <c r="H16" s="16"/>
      <c r="I16" s="22"/>
      <c r="J16" s="17"/>
      <c r="K16" s="23"/>
      <c r="L16" s="17"/>
      <c r="M16" s="23"/>
    </row>
    <row r="17" spans="1:13" ht="18">
      <c r="A17" s="14" t="s">
        <v>49</v>
      </c>
      <c r="B17" s="24"/>
      <c r="C17" s="24"/>
      <c r="D17" s="15"/>
      <c r="E17" s="24"/>
      <c r="F17" s="15"/>
      <c r="G17" s="22"/>
      <c r="H17" s="16"/>
      <c r="I17" s="22"/>
      <c r="J17" s="17"/>
      <c r="K17" s="23"/>
      <c r="L17" s="17"/>
      <c r="M17" s="23"/>
    </row>
    <row r="18" spans="1:13" ht="18">
      <c r="A18" s="14" t="s">
        <v>50</v>
      </c>
      <c r="B18" s="22"/>
      <c r="C18" s="22"/>
      <c r="D18" s="16"/>
      <c r="E18" s="22"/>
      <c r="F18" s="16"/>
      <c r="G18" s="22"/>
      <c r="H18" s="17"/>
      <c r="I18" s="23"/>
      <c r="J18" s="17"/>
      <c r="K18" s="23"/>
      <c r="L18" s="17"/>
      <c r="M18" s="23"/>
    </row>
    <row r="19" spans="1:13" ht="18">
      <c r="A19" s="14" t="s">
        <v>51</v>
      </c>
      <c r="B19" s="24"/>
      <c r="C19" s="24"/>
      <c r="D19" s="15"/>
      <c r="E19" s="24"/>
      <c r="F19" s="15"/>
      <c r="G19" s="24"/>
      <c r="H19" s="15"/>
      <c r="I19" s="24"/>
      <c r="J19" s="15"/>
      <c r="K19" s="24"/>
      <c r="L19" s="15"/>
      <c r="M19" s="24"/>
    </row>
    <row r="20" spans="1:13" ht="18">
      <c r="A20" s="14" t="s">
        <v>52</v>
      </c>
      <c r="B20" s="24"/>
      <c r="C20" s="24"/>
      <c r="D20" s="15"/>
      <c r="E20" s="24"/>
      <c r="F20" s="15"/>
      <c r="G20" s="22"/>
      <c r="H20" s="16"/>
      <c r="I20" s="22"/>
      <c r="J20" s="17"/>
      <c r="K20" s="23"/>
      <c r="L20" s="17"/>
      <c r="M20" s="23"/>
    </row>
    <row r="21" spans="1:13" ht="18">
      <c r="A21" s="14" t="s">
        <v>53</v>
      </c>
      <c r="B21" s="24"/>
      <c r="C21" s="24"/>
      <c r="D21" s="15"/>
      <c r="E21" s="24"/>
      <c r="F21" s="15"/>
      <c r="G21" s="22"/>
      <c r="H21" s="16"/>
      <c r="I21" s="22"/>
      <c r="J21" s="17"/>
      <c r="K21" s="23"/>
      <c r="L21" s="17"/>
      <c r="M21" s="23"/>
    </row>
    <row r="22" spans="1:13" ht="18">
      <c r="A22" s="14" t="s">
        <v>54</v>
      </c>
      <c r="B22" s="24"/>
      <c r="C22" s="24"/>
      <c r="D22" s="15"/>
      <c r="E22" s="24"/>
      <c r="F22" s="16"/>
      <c r="G22" s="22"/>
      <c r="H22" s="16"/>
      <c r="I22" s="23"/>
      <c r="J22" s="17"/>
      <c r="K22" s="23"/>
      <c r="L22" s="17"/>
      <c r="M22" s="23"/>
    </row>
    <row r="23" spans="1:13" ht="18">
      <c r="A23" s="14" t="s">
        <v>55</v>
      </c>
      <c r="B23" s="24"/>
      <c r="C23" s="24"/>
      <c r="D23" s="15"/>
      <c r="E23" s="24"/>
      <c r="F23" s="16"/>
      <c r="G23" s="22"/>
      <c r="H23" s="16"/>
      <c r="I23" s="23"/>
      <c r="J23" s="17"/>
      <c r="K23" s="23"/>
      <c r="L23" s="17"/>
      <c r="M23" s="23"/>
    </row>
    <row r="24" spans="1:13" ht="18">
      <c r="A24" s="14" t="s">
        <v>56</v>
      </c>
      <c r="B24" s="24"/>
      <c r="C24" s="24"/>
      <c r="D24" s="15"/>
      <c r="E24" s="24"/>
      <c r="F24" s="16"/>
      <c r="G24" s="22"/>
      <c r="H24" s="16"/>
      <c r="I24" s="23"/>
      <c r="J24" s="17"/>
      <c r="K24" s="23"/>
      <c r="L24" s="17"/>
      <c r="M24" s="23"/>
    </row>
    <row r="25" spans="1:13" ht="18">
      <c r="A25" s="14" t="s">
        <v>57</v>
      </c>
      <c r="B25" s="24"/>
      <c r="C25" s="24"/>
      <c r="D25" s="15"/>
      <c r="E25" s="24"/>
      <c r="F25" s="15"/>
      <c r="G25" s="24"/>
      <c r="H25" s="15"/>
      <c r="I25" s="24"/>
      <c r="J25" s="15"/>
      <c r="K25" s="24"/>
      <c r="L25" s="15"/>
      <c r="M25" s="24"/>
    </row>
    <row r="26" spans="1:13" ht="18">
      <c r="A26" s="14" t="s">
        <v>58</v>
      </c>
      <c r="B26" s="24"/>
      <c r="C26" s="24"/>
      <c r="D26" s="15"/>
      <c r="E26" s="24"/>
      <c r="F26" s="15"/>
      <c r="G26" s="24"/>
      <c r="H26" s="15"/>
      <c r="I26" s="24"/>
      <c r="J26" s="15"/>
      <c r="K26" s="24"/>
      <c r="L26" s="15"/>
      <c r="M26" s="24"/>
    </row>
    <row r="27" spans="1:13" ht="18">
      <c r="A27" s="25" t="s">
        <v>59</v>
      </c>
      <c r="B27" s="26"/>
      <c r="C27" s="26"/>
      <c r="D27" s="18"/>
      <c r="E27" s="26"/>
      <c r="F27" s="18"/>
      <c r="G27" s="27"/>
      <c r="H27" s="28"/>
      <c r="I27" s="27"/>
      <c r="J27" s="28"/>
      <c r="K27" s="27"/>
      <c r="L27" s="28"/>
      <c r="M27" s="27"/>
    </row>
    <row r="28" spans="1:13" ht="18">
      <c r="A28" s="15"/>
      <c r="B28" s="15"/>
      <c r="C28" s="15"/>
      <c r="D28" s="15"/>
      <c r="E28" s="15"/>
      <c r="F28" s="15"/>
      <c r="G28" s="29" t="s">
        <v>60</v>
      </c>
      <c r="H28" s="15"/>
      <c r="I28" s="15"/>
      <c r="J28" s="15"/>
      <c r="K28" s="15"/>
      <c r="L28" s="15"/>
      <c r="M28" s="1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abSelected="1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9" sqref="A9"/>
    </sheetView>
  </sheetViews>
  <sheetFormatPr baseColWidth="10" defaultColWidth="11.5703125" defaultRowHeight="12.75"/>
  <cols>
    <col min="1" max="1" width="17" style="112" customWidth="1"/>
    <col min="2" max="2" width="9.85546875" style="112" customWidth="1"/>
    <col min="3" max="4" width="9.42578125" style="112" customWidth="1"/>
    <col min="5" max="6" width="10.42578125" style="112" customWidth="1"/>
    <col min="7" max="7" width="9.42578125" style="112" customWidth="1"/>
    <col min="8" max="8" width="9.5703125" style="112" customWidth="1"/>
    <col min="9" max="9" width="9.42578125" style="112" customWidth="1"/>
    <col min="10" max="10" width="10.42578125" style="112" customWidth="1"/>
    <col min="11" max="11" width="9.42578125" style="112" customWidth="1"/>
    <col min="12" max="12" width="10" style="112" customWidth="1"/>
    <col min="13" max="13" width="9.5703125" style="112" customWidth="1"/>
    <col min="14" max="14" width="14" style="112" customWidth="1"/>
    <col min="15" max="15" width="13.85546875" style="112" customWidth="1"/>
    <col min="16" max="16" width="19.5703125" style="112" customWidth="1"/>
    <col min="17" max="17" width="16.5703125" style="112" customWidth="1"/>
    <col min="18" max="18" width="13.140625" style="112" customWidth="1"/>
    <col min="19" max="19" width="10.85546875" style="112" customWidth="1"/>
    <col min="20" max="20" width="13.5703125" style="112" customWidth="1"/>
    <col min="21" max="16384" width="11.5703125" style="112"/>
  </cols>
  <sheetData>
    <row r="1" spans="1:22">
      <c r="A1" s="214" t="s">
        <v>113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P1" s="115"/>
    </row>
    <row r="2" spans="1:22">
      <c r="A2" s="113" t="s">
        <v>60</v>
      </c>
      <c r="P2" s="115"/>
    </row>
    <row r="3" spans="1:22">
      <c r="A3" s="113"/>
      <c r="P3" s="115"/>
    </row>
    <row r="4" spans="1:22">
      <c r="A4" s="113"/>
      <c r="P4" s="115"/>
    </row>
    <row r="5" spans="1:22">
      <c r="A5" s="113"/>
      <c r="P5" s="115"/>
    </row>
    <row r="6" spans="1:22">
      <c r="A6" s="113"/>
      <c r="P6" s="115"/>
    </row>
    <row r="7" spans="1:22" ht="15">
      <c r="B7" s="116"/>
      <c r="C7" s="116"/>
      <c r="D7" s="116"/>
      <c r="E7" s="117"/>
      <c r="F7" s="117"/>
      <c r="G7" s="117"/>
      <c r="H7" s="117"/>
      <c r="I7" s="117"/>
      <c r="J7" s="117"/>
      <c r="K7" s="118"/>
      <c r="L7" s="118"/>
      <c r="M7" s="118"/>
      <c r="N7" s="118"/>
      <c r="O7" s="118"/>
      <c r="P7" s="118"/>
      <c r="Q7" s="118"/>
      <c r="T7" s="119"/>
    </row>
    <row r="8" spans="1:22" ht="15">
      <c r="B8" s="116"/>
      <c r="C8" s="116"/>
      <c r="D8" s="116"/>
      <c r="E8" s="117"/>
      <c r="F8" s="117"/>
      <c r="G8" s="117"/>
      <c r="H8" s="117"/>
      <c r="I8" s="117"/>
      <c r="J8" s="117"/>
      <c r="K8" s="118"/>
      <c r="L8" s="118"/>
      <c r="M8" s="118"/>
      <c r="N8" s="118"/>
      <c r="O8" s="118"/>
      <c r="P8" s="118"/>
      <c r="Q8" s="118"/>
      <c r="T8" s="119"/>
    </row>
    <row r="9" spans="1:22" ht="15">
      <c r="A9" s="30" t="s">
        <v>134</v>
      </c>
      <c r="B9" s="33"/>
      <c r="C9" s="33"/>
      <c r="D9" s="33"/>
      <c r="E9" s="33"/>
      <c r="F9" s="33"/>
      <c r="G9" s="117"/>
      <c r="H9" s="117"/>
      <c r="I9" s="117"/>
      <c r="J9" s="117"/>
      <c r="K9" s="118"/>
      <c r="L9" s="118"/>
      <c r="M9" s="118"/>
      <c r="N9" s="118"/>
      <c r="O9" s="118"/>
      <c r="P9" s="118"/>
      <c r="Q9" s="118"/>
      <c r="T9" s="119"/>
    </row>
    <row r="10" spans="1:22" ht="14.25" customHeight="1">
      <c r="A10" s="34" t="s">
        <v>132</v>
      </c>
      <c r="B10" s="33"/>
      <c r="C10" s="33"/>
      <c r="D10" s="33"/>
      <c r="E10" s="33"/>
      <c r="F10" s="33"/>
      <c r="G10" s="120"/>
      <c r="H10" s="120"/>
      <c r="I10" s="120"/>
      <c r="J10" s="120"/>
      <c r="K10" s="118"/>
      <c r="L10" s="118"/>
      <c r="M10" s="118"/>
      <c r="N10" s="118"/>
      <c r="O10" s="118"/>
      <c r="P10" s="118"/>
      <c r="Q10" s="118"/>
      <c r="T10" s="35"/>
      <c r="U10" s="32"/>
      <c r="V10" s="32"/>
    </row>
    <row r="11" spans="1:22" ht="14.25" customHeight="1">
      <c r="A11" s="33"/>
      <c r="B11" s="33"/>
      <c r="C11" s="33"/>
      <c r="D11" s="33"/>
      <c r="E11" s="33"/>
      <c r="F11" s="33"/>
      <c r="G11" s="120"/>
      <c r="H11" s="120"/>
      <c r="I11" s="120"/>
      <c r="J11" s="120"/>
      <c r="K11" s="118"/>
      <c r="L11" s="118"/>
      <c r="M11" s="118"/>
      <c r="N11" s="118"/>
      <c r="O11" s="118"/>
      <c r="P11" s="118"/>
      <c r="Q11" s="118"/>
      <c r="S11" t="s">
        <v>133</v>
      </c>
      <c r="T11" s="35"/>
    </row>
    <row r="12" spans="1:22" ht="12" customHeight="1">
      <c r="A12" s="31" t="s">
        <v>115</v>
      </c>
      <c r="B12" s="33"/>
      <c r="C12" s="33"/>
      <c r="D12" s="33"/>
      <c r="E12" s="33"/>
      <c r="F12" s="33"/>
      <c r="G12" s="120"/>
      <c r="H12" s="120"/>
      <c r="I12" s="120"/>
      <c r="J12" s="120"/>
      <c r="K12" s="118"/>
      <c r="L12" s="118"/>
      <c r="M12" s="118"/>
      <c r="N12" s="118"/>
      <c r="O12" s="118"/>
      <c r="P12" s="118"/>
      <c r="Q12" s="118"/>
      <c r="R12" s="121"/>
      <c r="S12" s="121"/>
      <c r="T12" s="215" t="s">
        <v>114</v>
      </c>
      <c r="U12" s="215"/>
      <c r="V12" s="215"/>
    </row>
    <row r="13" spans="1:22" ht="53.45" customHeight="1">
      <c r="A13" s="138" t="s">
        <v>122</v>
      </c>
      <c r="B13" s="139"/>
      <c r="C13" s="140" t="s">
        <v>61</v>
      </c>
      <c r="D13" s="141" t="s">
        <v>62</v>
      </c>
      <c r="E13" s="141" t="s">
        <v>63</v>
      </c>
      <c r="F13" s="141" t="s">
        <v>64</v>
      </c>
      <c r="G13" s="141" t="s">
        <v>65</v>
      </c>
      <c r="H13" s="141" t="s">
        <v>66</v>
      </c>
      <c r="I13" s="141" t="s">
        <v>67</v>
      </c>
      <c r="J13" s="141" t="s">
        <v>68</v>
      </c>
      <c r="K13" s="142" t="s">
        <v>69</v>
      </c>
      <c r="L13" s="143" t="s">
        <v>70</v>
      </c>
      <c r="M13" s="143" t="s">
        <v>71</v>
      </c>
      <c r="N13" s="143" t="s">
        <v>72</v>
      </c>
      <c r="O13" s="144" t="s">
        <v>73</v>
      </c>
      <c r="P13" s="145" t="s">
        <v>144</v>
      </c>
      <c r="Q13" s="145" t="s">
        <v>141</v>
      </c>
      <c r="R13" s="137"/>
      <c r="S13" s="146" t="s">
        <v>121</v>
      </c>
      <c r="T13" s="147" t="s">
        <v>74</v>
      </c>
      <c r="U13" s="147" t="s">
        <v>75</v>
      </c>
      <c r="V13" s="147" t="s">
        <v>143</v>
      </c>
    </row>
    <row r="14" spans="1:22" ht="12" customHeight="1">
      <c r="A14" s="213" t="s">
        <v>135</v>
      </c>
      <c r="B14" s="148" t="s">
        <v>76</v>
      </c>
      <c r="C14" s="153">
        <v>7240</v>
      </c>
      <c r="D14" s="154">
        <v>17050</v>
      </c>
      <c r="E14" s="154">
        <v>47160</v>
      </c>
      <c r="F14" s="154">
        <v>75600</v>
      </c>
      <c r="G14" s="154">
        <v>7050</v>
      </c>
      <c r="H14" s="154">
        <v>4000</v>
      </c>
      <c r="I14" s="154">
        <v>40650</v>
      </c>
      <c r="J14" s="155">
        <v>30080</v>
      </c>
      <c r="K14" s="156">
        <v>8450</v>
      </c>
      <c r="L14" s="161">
        <v>2250</v>
      </c>
      <c r="M14" s="161">
        <v>3430</v>
      </c>
      <c r="N14" s="162">
        <v>2460</v>
      </c>
      <c r="O14" s="151">
        <v>245420</v>
      </c>
      <c r="P14" s="173">
        <v>-7.3117304932396696E-2</v>
      </c>
      <c r="Q14" s="173">
        <v>-0.05</v>
      </c>
      <c r="R14" s="177"/>
      <c r="S14" s="180">
        <f>T14+U14</f>
        <v>264420</v>
      </c>
      <c r="T14" s="181">
        <v>248060</v>
      </c>
      <c r="U14" s="181">
        <v>16360</v>
      </c>
      <c r="V14" s="181">
        <f>[1]gcmens_76!$K$724</f>
        <v>258782</v>
      </c>
    </row>
    <row r="15" spans="1:22" ht="12" customHeight="1">
      <c r="A15" s="213"/>
      <c r="B15" s="149"/>
      <c r="C15" s="157"/>
      <c r="D15" s="158"/>
      <c r="E15" s="158"/>
      <c r="F15" s="158"/>
      <c r="G15" s="158"/>
      <c r="H15" s="158"/>
      <c r="I15" s="158"/>
      <c r="J15" s="158"/>
      <c r="K15" s="159"/>
      <c r="L15" s="160"/>
      <c r="M15" s="160"/>
      <c r="N15" s="160"/>
      <c r="O15" s="152"/>
      <c r="P15" s="174"/>
      <c r="Q15" s="174"/>
      <c r="R15" s="137"/>
      <c r="S15" s="150"/>
      <c r="T15" s="150"/>
      <c r="U15" s="150"/>
      <c r="V15" s="150"/>
    </row>
    <row r="16" spans="1:22" ht="12" customHeight="1">
      <c r="A16" s="213" t="s">
        <v>138</v>
      </c>
      <c r="B16" s="148" t="s">
        <v>76</v>
      </c>
      <c r="C16" s="153">
        <v>1570</v>
      </c>
      <c r="D16" s="154">
        <v>160</v>
      </c>
      <c r="E16" s="154">
        <v>26060</v>
      </c>
      <c r="F16" s="154">
        <v>10480</v>
      </c>
      <c r="G16" s="154">
        <v>100</v>
      </c>
      <c r="H16" s="154">
        <v>0</v>
      </c>
      <c r="I16" s="154">
        <v>6750</v>
      </c>
      <c r="J16" s="155">
        <v>1500</v>
      </c>
      <c r="K16" s="156">
        <v>18650</v>
      </c>
      <c r="L16" s="161">
        <v>8300</v>
      </c>
      <c r="M16" s="161">
        <v>5400</v>
      </c>
      <c r="N16" s="161">
        <v>240</v>
      </c>
      <c r="O16" s="151">
        <v>79210</v>
      </c>
      <c r="P16" s="173">
        <v>-8.0503801729641902E-2</v>
      </c>
      <c r="Q16" s="173">
        <v>-0.1</v>
      </c>
      <c r="R16" s="177"/>
      <c r="S16" s="180">
        <f>T16+U16</f>
        <v>86145</v>
      </c>
      <c r="T16" s="181">
        <v>52210</v>
      </c>
      <c r="U16" s="181">
        <v>33935</v>
      </c>
      <c r="V16" s="181">
        <f>[1]gcmens_76!$K$727</f>
        <v>87975.4</v>
      </c>
    </row>
    <row r="17" spans="1:22" ht="12" customHeight="1">
      <c r="A17" s="213"/>
      <c r="B17" s="149"/>
      <c r="C17" s="157"/>
      <c r="D17" s="158"/>
      <c r="E17" s="158"/>
      <c r="F17" s="158"/>
      <c r="G17" s="158"/>
      <c r="H17" s="158"/>
      <c r="I17" s="158"/>
      <c r="J17" s="158"/>
      <c r="K17" s="159"/>
      <c r="L17" s="160"/>
      <c r="M17" s="160"/>
      <c r="N17" s="160"/>
      <c r="O17" s="152"/>
      <c r="P17" s="175"/>
      <c r="Q17" s="175"/>
      <c r="R17" s="137"/>
      <c r="S17" s="150"/>
      <c r="T17" s="150"/>
      <c r="U17" s="150"/>
      <c r="V17" s="150"/>
    </row>
    <row r="18" spans="1:22" ht="12" customHeight="1">
      <c r="A18" s="213" t="s">
        <v>123</v>
      </c>
      <c r="B18" s="148" t="s">
        <v>76</v>
      </c>
      <c r="C18" s="153">
        <v>45</v>
      </c>
      <c r="D18" s="154">
        <v>1300</v>
      </c>
      <c r="E18" s="154">
        <v>150</v>
      </c>
      <c r="F18" s="154">
        <v>100</v>
      </c>
      <c r="G18" s="154">
        <v>110</v>
      </c>
      <c r="H18" s="154">
        <v>15</v>
      </c>
      <c r="I18" s="154">
        <v>370</v>
      </c>
      <c r="J18" s="155">
        <v>110</v>
      </c>
      <c r="K18" s="156">
        <v>100</v>
      </c>
      <c r="L18" s="161">
        <v>50</v>
      </c>
      <c r="M18" s="161">
        <v>50</v>
      </c>
      <c r="N18" s="161">
        <v>2950</v>
      </c>
      <c r="O18" s="151">
        <v>5350</v>
      </c>
      <c r="P18" s="173">
        <v>-3.6036036036036001E-2</v>
      </c>
      <c r="Q18" s="173">
        <v>0.09</v>
      </c>
      <c r="R18" s="177"/>
      <c r="S18" s="180">
        <f>T18+U18</f>
        <v>5550</v>
      </c>
      <c r="T18" s="181">
        <v>2440</v>
      </c>
      <c r="U18" s="181">
        <v>3110</v>
      </c>
      <c r="V18" s="181">
        <f>[1]gcmens_76!$K$728</f>
        <v>4912.6000000000004</v>
      </c>
    </row>
    <row r="19" spans="1:22" ht="12" customHeight="1">
      <c r="A19" s="213"/>
      <c r="B19" s="149"/>
      <c r="C19" s="157"/>
      <c r="D19" s="158"/>
      <c r="E19" s="158"/>
      <c r="F19" s="158"/>
      <c r="G19" s="158"/>
      <c r="H19" s="158"/>
      <c r="I19" s="158"/>
      <c r="J19" s="158"/>
      <c r="K19" s="159"/>
      <c r="L19" s="160"/>
      <c r="M19" s="160"/>
      <c r="N19" s="160"/>
      <c r="O19" s="152"/>
      <c r="P19" s="174"/>
      <c r="Q19" s="174"/>
      <c r="R19" s="137"/>
      <c r="S19" s="150"/>
      <c r="T19" s="150"/>
      <c r="U19" s="150"/>
      <c r="V19" s="150"/>
    </row>
    <row r="20" spans="1:22" ht="12" customHeight="1">
      <c r="A20" s="213" t="s">
        <v>124</v>
      </c>
      <c r="B20" s="148" t="s">
        <v>76</v>
      </c>
      <c r="C20" s="153">
        <v>2015</v>
      </c>
      <c r="D20" s="154">
        <v>20000</v>
      </c>
      <c r="E20" s="154">
        <v>12000</v>
      </c>
      <c r="F20" s="154">
        <v>12000</v>
      </c>
      <c r="G20" s="154">
        <v>5000</v>
      </c>
      <c r="H20" s="154">
        <v>1400</v>
      </c>
      <c r="I20" s="154">
        <v>18500</v>
      </c>
      <c r="J20" s="155">
        <v>8000</v>
      </c>
      <c r="K20" s="156">
        <v>5800</v>
      </c>
      <c r="L20" s="161">
        <v>1800</v>
      </c>
      <c r="M20" s="161">
        <v>1500</v>
      </c>
      <c r="N20" s="161">
        <v>2390</v>
      </c>
      <c r="O20" s="151">
        <v>90405</v>
      </c>
      <c r="P20" s="173">
        <v>-0.13</v>
      </c>
      <c r="Q20" s="173">
        <v>-0.06</v>
      </c>
      <c r="R20" s="177"/>
      <c r="S20" s="180">
        <f>T20+U20</f>
        <v>101485</v>
      </c>
      <c r="T20" s="181">
        <v>89940</v>
      </c>
      <c r="U20" s="181">
        <v>11545</v>
      </c>
      <c r="V20" s="181">
        <f>[1]gcmens_76!$K$729</f>
        <v>95790</v>
      </c>
    </row>
    <row r="21" spans="1:22" ht="12" customHeight="1">
      <c r="A21" s="213"/>
      <c r="B21" s="149"/>
      <c r="C21" s="157"/>
      <c r="D21" s="158"/>
      <c r="E21" s="158"/>
      <c r="F21" s="158"/>
      <c r="G21" s="158"/>
      <c r="H21" s="158"/>
      <c r="I21" s="158"/>
      <c r="J21" s="158"/>
      <c r="K21" s="159"/>
      <c r="L21" s="160"/>
      <c r="M21" s="160"/>
      <c r="N21" s="160"/>
      <c r="O21" s="152"/>
      <c r="P21" s="174"/>
      <c r="Q21" s="174"/>
      <c r="R21" s="137"/>
      <c r="S21" s="150"/>
      <c r="T21" s="150"/>
      <c r="U21" s="150"/>
      <c r="V21" s="150"/>
    </row>
    <row r="22" spans="1:22" ht="17.100000000000001" customHeight="1">
      <c r="A22" s="213" t="s">
        <v>136</v>
      </c>
      <c r="B22" s="148" t="s">
        <v>76</v>
      </c>
      <c r="C22" s="153">
        <v>240</v>
      </c>
      <c r="D22" s="154">
        <v>1200</v>
      </c>
      <c r="E22" s="154">
        <v>3000</v>
      </c>
      <c r="F22" s="154">
        <v>3000</v>
      </c>
      <c r="G22" s="154">
        <v>600</v>
      </c>
      <c r="H22" s="154">
        <v>25</v>
      </c>
      <c r="I22" s="154">
        <v>1765</v>
      </c>
      <c r="J22" s="155">
        <v>850</v>
      </c>
      <c r="K22" s="156">
        <v>650</v>
      </c>
      <c r="L22" s="161">
        <v>850</v>
      </c>
      <c r="M22" s="161">
        <v>400</v>
      </c>
      <c r="N22" s="161">
        <v>640</v>
      </c>
      <c r="O22" s="151">
        <v>13220</v>
      </c>
      <c r="P22" s="173">
        <v>0.41239316239316198</v>
      </c>
      <c r="Q22" s="173">
        <v>0.17</v>
      </c>
      <c r="R22" s="177"/>
      <c r="S22" s="180">
        <f>T22+U22</f>
        <v>9360</v>
      </c>
      <c r="T22" s="181">
        <v>6840</v>
      </c>
      <c r="U22" s="181">
        <v>2520</v>
      </c>
      <c r="V22" s="181">
        <f>[1]gcmens_76!$K$730</f>
        <v>11274</v>
      </c>
    </row>
    <row r="23" spans="1:22" ht="14.45" customHeight="1">
      <c r="A23" s="213"/>
      <c r="B23" s="149"/>
      <c r="C23" s="157"/>
      <c r="D23" s="158"/>
      <c r="E23" s="158"/>
      <c r="F23" s="158"/>
      <c r="G23" s="158"/>
      <c r="H23" s="158"/>
      <c r="I23" s="158"/>
      <c r="J23" s="158"/>
      <c r="K23" s="159"/>
      <c r="L23" s="160"/>
      <c r="M23" s="160"/>
      <c r="N23" s="160"/>
      <c r="O23" s="149"/>
      <c r="P23" s="176"/>
      <c r="Q23" s="176"/>
      <c r="R23" s="137"/>
      <c r="S23" s="150"/>
      <c r="T23" s="150"/>
      <c r="U23" s="150"/>
      <c r="V23" s="150"/>
    </row>
    <row r="24" spans="1:22" ht="12" customHeight="1">
      <c r="A24" s="213" t="s">
        <v>137</v>
      </c>
      <c r="B24" s="148" t="s">
        <v>76</v>
      </c>
      <c r="C24" s="153">
        <v>245</v>
      </c>
      <c r="D24" s="154">
        <v>710</v>
      </c>
      <c r="E24" s="154">
        <v>790</v>
      </c>
      <c r="F24" s="154">
        <v>1570</v>
      </c>
      <c r="G24" s="154">
        <v>600</v>
      </c>
      <c r="H24" s="154">
        <v>80</v>
      </c>
      <c r="I24" s="154">
        <v>960</v>
      </c>
      <c r="J24" s="155">
        <v>610</v>
      </c>
      <c r="K24" s="156">
        <v>350</v>
      </c>
      <c r="L24" s="161">
        <v>80</v>
      </c>
      <c r="M24" s="161">
        <v>120</v>
      </c>
      <c r="N24" s="161">
        <v>1785</v>
      </c>
      <c r="O24" s="151">
        <v>7900</v>
      </c>
      <c r="P24" s="173">
        <v>-7.0000000000000007E-2</v>
      </c>
      <c r="Q24" s="173">
        <v>-0.18</v>
      </c>
      <c r="R24" s="177"/>
      <c r="S24" s="180">
        <f>T24+U24</f>
        <v>7145</v>
      </c>
      <c r="T24" s="181">
        <v>5790</v>
      </c>
      <c r="U24" s="181">
        <v>1355</v>
      </c>
      <c r="V24" s="181">
        <f>[1]gcmens_76!$K$734</f>
        <v>9623</v>
      </c>
    </row>
    <row r="25" spans="1:22" ht="11.45" customHeight="1">
      <c r="A25" s="213"/>
      <c r="B25" s="149"/>
      <c r="C25" s="157"/>
      <c r="D25" s="158"/>
      <c r="E25" s="158"/>
      <c r="F25" s="158"/>
      <c r="G25" s="158"/>
      <c r="H25" s="158"/>
      <c r="I25" s="158"/>
      <c r="J25" s="158"/>
      <c r="K25" s="159"/>
      <c r="L25" s="160"/>
      <c r="M25" s="160"/>
      <c r="N25" s="160"/>
      <c r="O25" s="152"/>
      <c r="P25" s="174"/>
      <c r="Q25" s="174"/>
      <c r="R25" s="137"/>
      <c r="S25" s="150"/>
      <c r="T25" s="150"/>
      <c r="U25" s="150"/>
      <c r="V25" s="150"/>
    </row>
    <row r="26" spans="1:22" ht="17.100000000000001" customHeight="1">
      <c r="A26" s="213" t="s">
        <v>125</v>
      </c>
      <c r="B26" s="148" t="s">
        <v>76</v>
      </c>
      <c r="C26" s="153">
        <v>900</v>
      </c>
      <c r="D26" s="154">
        <v>6600</v>
      </c>
      <c r="E26" s="154">
        <v>2400</v>
      </c>
      <c r="F26" s="154">
        <v>5400</v>
      </c>
      <c r="G26" s="154">
        <v>1970</v>
      </c>
      <c r="H26" s="154">
        <v>2300</v>
      </c>
      <c r="I26" s="154">
        <v>6430</v>
      </c>
      <c r="J26" s="155">
        <v>2000</v>
      </c>
      <c r="K26" s="156">
        <v>650</v>
      </c>
      <c r="L26" s="161">
        <v>150</v>
      </c>
      <c r="M26" s="161">
        <v>300</v>
      </c>
      <c r="N26" s="161">
        <v>3450</v>
      </c>
      <c r="O26" s="151">
        <v>32550</v>
      </c>
      <c r="P26" s="173">
        <v>-0.09</v>
      </c>
      <c r="Q26" s="173">
        <v>-0.01</v>
      </c>
      <c r="R26" s="177"/>
      <c r="S26" s="180">
        <f>T26+U26</f>
        <v>35110</v>
      </c>
      <c r="T26" s="181">
        <v>30560</v>
      </c>
      <c r="U26" s="181">
        <v>4550</v>
      </c>
      <c r="V26" s="181">
        <f>[1]gcmens_76!$K$740</f>
        <v>32736</v>
      </c>
    </row>
    <row r="27" spans="1:22" ht="15" customHeight="1">
      <c r="A27" s="213"/>
      <c r="B27" s="149"/>
      <c r="C27" s="157"/>
      <c r="D27" s="158"/>
      <c r="E27" s="158"/>
      <c r="F27" s="158"/>
      <c r="G27" s="158"/>
      <c r="H27" s="158"/>
      <c r="I27" s="158"/>
      <c r="J27" s="158"/>
      <c r="K27" s="159"/>
      <c r="L27" s="160"/>
      <c r="M27" s="160"/>
      <c r="N27" s="160"/>
      <c r="O27" s="152"/>
      <c r="P27" s="174"/>
      <c r="Q27" s="174"/>
      <c r="S27" s="182"/>
      <c r="T27" s="182"/>
      <c r="U27" s="182"/>
      <c r="V27" s="182"/>
    </row>
    <row r="28" spans="1:22" ht="13.5" customHeight="1">
      <c r="A28" s="213" t="s">
        <v>126</v>
      </c>
      <c r="B28" s="148" t="s">
        <v>76</v>
      </c>
      <c r="C28" s="153">
        <v>1020</v>
      </c>
      <c r="D28" s="154">
        <v>1700</v>
      </c>
      <c r="E28" s="154">
        <v>12000</v>
      </c>
      <c r="F28" s="154">
        <v>7000</v>
      </c>
      <c r="G28" s="154">
        <v>500</v>
      </c>
      <c r="H28" s="154">
        <v>800</v>
      </c>
      <c r="I28" s="154">
        <v>5900</v>
      </c>
      <c r="J28" s="155">
        <v>2600</v>
      </c>
      <c r="K28" s="156">
        <v>2500</v>
      </c>
      <c r="L28" s="161">
        <v>1000</v>
      </c>
      <c r="M28" s="161">
        <v>300</v>
      </c>
      <c r="N28" s="161">
        <v>20</v>
      </c>
      <c r="O28" s="151">
        <v>35340</v>
      </c>
      <c r="P28" s="173">
        <v>0.15358250367227</v>
      </c>
      <c r="Q28" s="173">
        <v>0.05</v>
      </c>
      <c r="R28" s="177"/>
      <c r="S28" s="180">
        <f>T28+U28</f>
        <v>30635</v>
      </c>
      <c r="T28" s="181">
        <v>26500</v>
      </c>
      <c r="U28" s="181">
        <v>4135</v>
      </c>
      <c r="V28" s="181">
        <f>[1]gcmens_76!$K$751</f>
        <v>33782</v>
      </c>
    </row>
    <row r="29" spans="1:22" ht="15" customHeight="1">
      <c r="A29" s="213"/>
      <c r="B29" s="149"/>
      <c r="C29" s="157"/>
      <c r="D29" s="158"/>
      <c r="E29" s="158"/>
      <c r="F29" s="158"/>
      <c r="G29" s="158"/>
      <c r="H29" s="158"/>
      <c r="I29" s="158"/>
      <c r="J29" s="158"/>
      <c r="K29" s="159"/>
      <c r="L29" s="160"/>
      <c r="M29" s="160"/>
      <c r="N29" s="160"/>
      <c r="O29" s="152"/>
      <c r="P29" s="174"/>
      <c r="Q29" s="174"/>
      <c r="S29" s="182"/>
      <c r="T29" s="182"/>
      <c r="U29" s="182"/>
      <c r="V29" s="182"/>
    </row>
    <row r="30" spans="1:22" ht="13.5" customHeight="1">
      <c r="A30" s="213" t="s">
        <v>54</v>
      </c>
      <c r="B30" s="148" t="s">
        <v>76</v>
      </c>
      <c r="C30" s="153">
        <v>450</v>
      </c>
      <c r="D30" s="154">
        <v>160</v>
      </c>
      <c r="E30" s="154">
        <v>2900</v>
      </c>
      <c r="F30" s="154">
        <v>7000</v>
      </c>
      <c r="G30" s="154">
        <v>300</v>
      </c>
      <c r="H30" s="154">
        <v>110</v>
      </c>
      <c r="I30" s="154">
        <v>2500</v>
      </c>
      <c r="J30" s="155">
        <v>2000</v>
      </c>
      <c r="K30" s="156">
        <v>750</v>
      </c>
      <c r="L30" s="161">
        <v>200</v>
      </c>
      <c r="M30" s="161">
        <v>210</v>
      </c>
      <c r="N30" s="161">
        <v>5</v>
      </c>
      <c r="O30" s="151">
        <v>16585</v>
      </c>
      <c r="P30" s="173">
        <v>0.137907375643225</v>
      </c>
      <c r="Q30" s="173">
        <v>0.3</v>
      </c>
      <c r="R30" s="177"/>
      <c r="S30" s="180">
        <f>T30+U30</f>
        <v>14575</v>
      </c>
      <c r="T30" s="181">
        <v>13450</v>
      </c>
      <c r="U30" s="181">
        <v>1125</v>
      </c>
      <c r="V30" s="181">
        <v>12776</v>
      </c>
    </row>
    <row r="31" spans="1:22" ht="14.45" customHeight="1">
      <c r="A31" s="213"/>
      <c r="B31" s="149"/>
      <c r="C31" s="157"/>
      <c r="D31" s="158"/>
      <c r="E31" s="158"/>
      <c r="F31" s="158"/>
      <c r="G31" s="158"/>
      <c r="H31" s="158"/>
      <c r="I31" s="158"/>
      <c r="J31" s="158"/>
      <c r="K31" s="159"/>
      <c r="L31" s="160"/>
      <c r="M31" s="160"/>
      <c r="N31" s="160"/>
      <c r="O31" s="152"/>
      <c r="P31" s="174"/>
      <c r="Q31" s="174"/>
      <c r="R31" s="177"/>
      <c r="S31" s="182"/>
      <c r="T31" s="182"/>
      <c r="U31" s="182"/>
      <c r="V31" s="182"/>
    </row>
    <row r="32" spans="1:22" ht="13.5" customHeight="1">
      <c r="A32" s="213" t="s">
        <v>139</v>
      </c>
      <c r="B32" s="148" t="s">
        <v>76</v>
      </c>
      <c r="C32" s="153">
        <v>385</v>
      </c>
      <c r="D32" s="154">
        <v>240</v>
      </c>
      <c r="E32" s="154">
        <v>3700</v>
      </c>
      <c r="F32" s="154">
        <v>8100</v>
      </c>
      <c r="G32" s="154">
        <v>310</v>
      </c>
      <c r="H32" s="154">
        <v>310</v>
      </c>
      <c r="I32" s="154">
        <v>2300</v>
      </c>
      <c r="J32" s="155">
        <v>735</v>
      </c>
      <c r="K32" s="156">
        <v>1600</v>
      </c>
      <c r="L32" s="161">
        <v>100</v>
      </c>
      <c r="M32" s="161">
        <v>250</v>
      </c>
      <c r="N32" s="161">
        <v>17</v>
      </c>
      <c r="O32" s="151">
        <v>18047</v>
      </c>
      <c r="P32" s="173">
        <v>-0.06</v>
      </c>
      <c r="Q32" s="173">
        <v>0.04</v>
      </c>
      <c r="R32" s="177"/>
      <c r="S32" s="180">
        <v>19247</v>
      </c>
      <c r="T32" s="181">
        <v>17290</v>
      </c>
      <c r="U32" s="181">
        <v>1957</v>
      </c>
      <c r="V32" s="181">
        <f>[1]gcmens_76!$K$761+[1]gcmens_76!$K$762</f>
        <v>17434.2</v>
      </c>
    </row>
    <row r="33" spans="1:22" ht="15" customHeight="1">
      <c r="A33" s="213"/>
      <c r="B33" s="149"/>
      <c r="C33" s="157"/>
      <c r="D33" s="158"/>
      <c r="E33" s="158"/>
      <c r="F33" s="158"/>
      <c r="G33" s="158"/>
      <c r="H33" s="158"/>
      <c r="I33" s="158"/>
      <c r="J33" s="158"/>
      <c r="K33" s="159"/>
      <c r="L33" s="160"/>
      <c r="M33" s="160"/>
      <c r="N33" s="160"/>
      <c r="O33" s="152"/>
      <c r="P33" s="174"/>
      <c r="Q33" s="174"/>
      <c r="S33" s="182"/>
      <c r="T33" s="182"/>
      <c r="U33" s="182"/>
      <c r="V33" s="182"/>
    </row>
    <row r="34" spans="1:22" ht="18.75" customHeight="1">
      <c r="A34" s="114" t="s">
        <v>77</v>
      </c>
    </row>
    <row r="35" spans="1:22" ht="11.1" customHeight="1">
      <c r="A35" s="114" t="s">
        <v>140</v>
      </c>
    </row>
    <row r="36" spans="1:22" ht="11.45" customHeight="1">
      <c r="A36" s="112" t="s">
        <v>142</v>
      </c>
    </row>
    <row r="37" spans="1:22" ht="15" customHeight="1">
      <c r="A37" s="178" t="s">
        <v>145</v>
      </c>
      <c r="O37" s="136"/>
    </row>
    <row r="38" spans="1:22" ht="13.5" customHeight="1"/>
    <row r="39" spans="1:22" ht="15" customHeight="1"/>
    <row r="40" spans="1:22" ht="13.5" customHeight="1"/>
    <row r="41" spans="1:22" ht="15" customHeight="1"/>
    <row r="42" spans="1:22" ht="13.5" customHeight="1"/>
    <row r="43" spans="1:22" ht="13.5" customHeight="1"/>
    <row r="44" spans="1:22" ht="13.5" customHeight="1"/>
    <row r="45" spans="1:22" ht="13.5" customHeight="1"/>
    <row r="46" spans="1:22" ht="13.5" customHeight="1"/>
    <row r="47" spans="1:22" ht="14.25" customHeight="1"/>
    <row r="48" spans="1:22" ht="19.5" customHeight="1"/>
    <row r="59" ht="13.35" customHeight="1"/>
  </sheetData>
  <sheetProtection selectLockedCells="1" selectUnlockedCells="1"/>
  <mergeCells count="12">
    <mergeCell ref="A32:A33"/>
    <mergeCell ref="A26:A27"/>
    <mergeCell ref="A28:A29"/>
    <mergeCell ref="A1:M1"/>
    <mergeCell ref="T12:V12"/>
    <mergeCell ref="A14:A15"/>
    <mergeCell ref="A16:A17"/>
    <mergeCell ref="A18:A19"/>
    <mergeCell ref="A20:A21"/>
    <mergeCell ref="A24:A25"/>
    <mergeCell ref="A22:A23"/>
    <mergeCell ref="A30:A31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zoomScale="95" zoomScaleNormal="95" workbookViewId="0">
      <selection activeCell="E39" sqref="E39"/>
    </sheetView>
  </sheetViews>
  <sheetFormatPr baseColWidth="10" defaultColWidth="11" defaultRowHeight="15.75"/>
  <cols>
    <col min="1" max="1" width="11.42578125" style="198" customWidth="1"/>
    <col min="2" max="2" width="10.42578125" style="198" customWidth="1"/>
    <col min="3" max="4" width="11.140625" style="198" customWidth="1"/>
    <col min="5" max="5" width="10.85546875" style="198" customWidth="1"/>
    <col min="6" max="6" width="13.42578125" style="118" customWidth="1"/>
    <col min="7" max="10" width="11" style="118" customWidth="1"/>
    <col min="11" max="11" width="12" style="118" customWidth="1"/>
    <col min="12" max="13" width="11.42578125" style="118" customWidth="1"/>
    <col min="14" max="16384" width="11" style="118"/>
  </cols>
  <sheetData>
    <row r="6" spans="1:11" s="36" customFormat="1" ht="18.75">
      <c r="A6" s="187"/>
      <c r="B6" s="187"/>
      <c r="C6" s="188"/>
      <c r="D6" s="188"/>
      <c r="E6" s="188"/>
    </row>
    <row r="7" spans="1:11" s="36" customFormat="1" ht="18.75">
      <c r="A7" s="187" t="s">
        <v>78</v>
      </c>
      <c r="B7" s="187"/>
      <c r="C7" s="188"/>
      <c r="D7" s="188"/>
      <c r="E7" s="188"/>
    </row>
    <row r="9" spans="1:11" s="37" customFormat="1" ht="18.75">
      <c r="A9" s="224" t="s">
        <v>79</v>
      </c>
      <c r="B9" s="224"/>
      <c r="C9" s="224"/>
      <c r="D9" s="224"/>
      <c r="E9" s="224"/>
      <c r="F9" s="179"/>
      <c r="H9" s="38"/>
    </row>
    <row r="10" spans="1:11" s="37" customFormat="1" ht="12.75" customHeight="1" thickBot="1">
      <c r="A10" s="189"/>
      <c r="B10" s="189"/>
      <c r="C10" s="190"/>
      <c r="D10" s="190"/>
      <c r="E10" s="189"/>
    </row>
    <row r="11" spans="1:11" s="37" customFormat="1" ht="14.85" customHeight="1" thickTop="1">
      <c r="A11" s="216" t="s">
        <v>93</v>
      </c>
      <c r="B11" s="218" t="s">
        <v>116</v>
      </c>
      <c r="C11" s="220" t="s">
        <v>94</v>
      </c>
      <c r="D11" s="220" t="s">
        <v>117</v>
      </c>
      <c r="E11" s="222" t="s">
        <v>118</v>
      </c>
      <c r="F11" s="43"/>
      <c r="G11" s="43"/>
      <c r="H11" s="43"/>
      <c r="I11" s="43"/>
      <c r="J11" s="43"/>
      <c r="K11" s="43"/>
    </row>
    <row r="12" spans="1:11" s="37" customFormat="1" ht="13.5" thickBot="1">
      <c r="A12" s="217"/>
      <c r="B12" s="219"/>
      <c r="C12" s="221"/>
      <c r="D12" s="221"/>
      <c r="E12" s="223"/>
      <c r="F12" s="43"/>
      <c r="G12" s="225"/>
      <c r="H12" s="225"/>
      <c r="I12" s="225"/>
      <c r="J12" s="43"/>
      <c r="K12" s="43"/>
    </row>
    <row r="13" spans="1:11" s="37" customFormat="1" ht="13.5" thickTop="1">
      <c r="A13" s="199" t="s">
        <v>80</v>
      </c>
      <c r="B13" s="105">
        <v>183.82179710144925</v>
      </c>
      <c r="C13" s="105">
        <v>345.62399999999997</v>
      </c>
      <c r="D13" s="105">
        <v>234.72</v>
      </c>
      <c r="E13" s="106">
        <f t="shared" ref="E13:E24" si="0">D13/C13-1</f>
        <v>-0.32088049441011035</v>
      </c>
      <c r="F13" s="43"/>
      <c r="G13" s="43"/>
      <c r="H13" s="43"/>
      <c r="I13" s="43"/>
      <c r="J13" s="43"/>
      <c r="K13" s="43"/>
    </row>
    <row r="14" spans="1:11" s="37" customFormat="1" ht="12.75">
      <c r="A14" s="200" t="s">
        <v>81</v>
      </c>
      <c r="B14" s="107">
        <v>190.68118181818184</v>
      </c>
      <c r="C14" s="107">
        <v>330.31681818181818</v>
      </c>
      <c r="D14" s="107">
        <v>227.42</v>
      </c>
      <c r="E14" s="108">
        <f t="shared" si="0"/>
        <v>-0.31150947368710757</v>
      </c>
      <c r="F14" s="43"/>
      <c r="G14" s="43"/>
      <c r="H14" s="43"/>
      <c r="I14" s="43"/>
      <c r="J14" s="43"/>
      <c r="K14" s="43"/>
    </row>
    <row r="15" spans="1:11" s="37" customFormat="1" ht="12.75">
      <c r="A15" s="200" t="s">
        <v>82</v>
      </c>
      <c r="B15" s="107">
        <v>190.36287748917749</v>
      </c>
      <c r="C15" s="107">
        <v>333.70300000000003</v>
      </c>
      <c r="D15" s="107">
        <v>227.71</v>
      </c>
      <c r="E15" s="108">
        <f t="shared" si="0"/>
        <v>-0.31762675193210732</v>
      </c>
      <c r="F15" s="43"/>
      <c r="G15" s="43"/>
      <c r="H15" s="43"/>
      <c r="I15" s="43"/>
      <c r="J15" s="43"/>
      <c r="K15" s="43"/>
    </row>
    <row r="16" spans="1:11" s="37" customFormat="1" ht="12.75">
      <c r="A16" s="200" t="s">
        <v>83</v>
      </c>
      <c r="B16" s="107">
        <v>199.6507391304348</v>
      </c>
      <c r="C16" s="107">
        <v>344.16300000000001</v>
      </c>
      <c r="D16" s="107">
        <v>229.89</v>
      </c>
      <c r="E16" s="108">
        <f t="shared" si="0"/>
        <v>-0.33203162454999524</v>
      </c>
      <c r="F16" s="43"/>
      <c r="G16" s="43"/>
      <c r="H16" s="43"/>
      <c r="I16" s="43"/>
      <c r="J16" s="43"/>
      <c r="K16" s="43"/>
    </row>
    <row r="17" spans="1:13" s="37" customFormat="1" ht="12.75">
      <c r="A17" s="200" t="s">
        <v>84</v>
      </c>
      <c r="B17" s="107">
        <v>205.48928822055137</v>
      </c>
      <c r="C17" s="107">
        <v>325.29000000000008</v>
      </c>
      <c r="D17" s="107">
        <v>221.76</v>
      </c>
      <c r="E17" s="108">
        <f t="shared" si="0"/>
        <v>-0.31826985151710796</v>
      </c>
      <c r="F17" s="43"/>
      <c r="G17" s="43"/>
      <c r="H17" s="43"/>
      <c r="I17" s="43"/>
      <c r="J17" s="43"/>
      <c r="K17" s="43"/>
    </row>
    <row r="18" spans="1:13" s="37" customFormat="1" ht="12.75">
      <c r="A18" s="200" t="s">
        <v>85</v>
      </c>
      <c r="B18" s="107">
        <v>203.82390064102566</v>
      </c>
      <c r="C18" s="107">
        <v>304.89470588235292</v>
      </c>
      <c r="D18" s="107">
        <v>218.34</v>
      </c>
      <c r="E18" s="108">
        <f t="shared" si="0"/>
        <v>-0.28388392521236838</v>
      </c>
      <c r="F18" s="43"/>
      <c r="G18" s="43"/>
      <c r="H18" s="43"/>
      <c r="I18" s="43"/>
      <c r="J18" s="43"/>
      <c r="K18" s="43"/>
    </row>
    <row r="19" spans="1:13" s="39" customFormat="1" ht="12.95" customHeight="1">
      <c r="A19" s="200" t="s">
        <v>86</v>
      </c>
      <c r="B19" s="107">
        <v>207.21316883116879</v>
      </c>
      <c r="C19" s="107">
        <v>291.34117647058832</v>
      </c>
      <c r="D19" s="107">
        <v>211.66</v>
      </c>
      <c r="E19" s="108">
        <f t="shared" si="0"/>
        <v>-0.27349781941528051</v>
      </c>
      <c r="F19" s="44"/>
      <c r="G19" s="44"/>
      <c r="H19" s="44"/>
      <c r="I19" s="44"/>
      <c r="J19" s="44"/>
      <c r="K19" s="44"/>
    </row>
    <row r="20" spans="1:13" s="37" customFormat="1" ht="12.95" customHeight="1">
      <c r="A20" s="200" t="s">
        <v>87</v>
      </c>
      <c r="B20" s="107">
        <v>206.25450000000001</v>
      </c>
      <c r="C20" s="107">
        <v>283.88849999999996</v>
      </c>
      <c r="D20" s="107">
        <v>198.59842105263158</v>
      </c>
      <c r="E20" s="108">
        <f t="shared" si="0"/>
        <v>-0.30043513191752536</v>
      </c>
      <c r="F20" s="43"/>
      <c r="G20" s="43"/>
      <c r="H20" s="43"/>
      <c r="I20" s="43"/>
      <c r="J20" s="43"/>
      <c r="K20" s="43"/>
    </row>
    <row r="21" spans="1:13" s="37" customFormat="1" ht="12.95" customHeight="1">
      <c r="A21" s="200" t="s">
        <v>88</v>
      </c>
      <c r="B21" s="107">
        <v>223.60250479954829</v>
      </c>
      <c r="C21" s="107">
        <v>259.35749999999996</v>
      </c>
      <c r="D21" s="107">
        <v>183.01307692307694</v>
      </c>
      <c r="E21" s="108">
        <f t="shared" si="0"/>
        <v>-0.29435980481352197</v>
      </c>
      <c r="F21" s="43"/>
      <c r="G21" s="43"/>
      <c r="H21" s="43"/>
      <c r="I21" s="43"/>
      <c r="J21" s="43"/>
      <c r="K21" s="43"/>
      <c r="M21" s="135"/>
    </row>
    <row r="22" spans="1:13" s="37" customFormat="1" ht="12.95" customHeight="1">
      <c r="A22" s="200" t="s">
        <v>89</v>
      </c>
      <c r="B22" s="107">
        <v>226.62711278195488</v>
      </c>
      <c r="C22" s="107">
        <v>241.6</v>
      </c>
      <c r="D22" s="107"/>
      <c r="E22" s="108">
        <f t="shared" si="0"/>
        <v>-1</v>
      </c>
      <c r="F22" s="43"/>
      <c r="G22" s="43"/>
      <c r="H22" s="43"/>
      <c r="I22" s="43"/>
      <c r="J22" s="43"/>
      <c r="K22" s="43"/>
    </row>
    <row r="23" spans="1:13" s="37" customFormat="1" ht="12.95" customHeight="1">
      <c r="A23" s="200" t="s">
        <v>90</v>
      </c>
      <c r="B23" s="107">
        <v>230.52179114452801</v>
      </c>
      <c r="C23" s="107">
        <v>221.85277777777776</v>
      </c>
      <c r="D23" s="107"/>
      <c r="E23" s="108">
        <f t="shared" si="0"/>
        <v>-1</v>
      </c>
      <c r="F23" s="43"/>
      <c r="G23" s="43"/>
      <c r="H23" s="43"/>
      <c r="I23" s="43"/>
      <c r="J23" s="43"/>
      <c r="K23" s="43"/>
    </row>
    <row r="24" spans="1:13" s="37" customFormat="1" ht="12.95" customHeight="1" thickBot="1">
      <c r="A24" s="201" t="s">
        <v>91</v>
      </c>
      <c r="B24" s="109">
        <v>222.80943381146889</v>
      </c>
      <c r="C24" s="109">
        <v>230.72500000000002</v>
      </c>
      <c r="D24" s="109"/>
      <c r="E24" s="110">
        <f t="shared" si="0"/>
        <v>-1</v>
      </c>
      <c r="F24" s="43"/>
      <c r="G24" s="43"/>
      <c r="H24" s="43"/>
      <c r="I24" s="43"/>
      <c r="J24" s="43"/>
      <c r="K24" s="43"/>
    </row>
    <row r="25" spans="1:13" ht="16.5" thickTop="1">
      <c r="A25" s="192" t="s">
        <v>92</v>
      </c>
      <c r="B25" s="191"/>
      <c r="C25" s="192"/>
      <c r="D25" s="192"/>
      <c r="E25" s="192"/>
      <c r="F25" s="45"/>
      <c r="G25" s="45"/>
      <c r="H25" s="45"/>
      <c r="I25" s="45"/>
      <c r="J25" s="45"/>
      <c r="K25" s="45"/>
    </row>
    <row r="26" spans="1:13">
      <c r="A26" s="192"/>
      <c r="B26" s="192"/>
      <c r="C26" s="192"/>
      <c r="D26" s="192"/>
      <c r="E26" s="192"/>
      <c r="F26" s="45"/>
      <c r="G26" s="45" t="s">
        <v>92</v>
      </c>
      <c r="H26" s="45"/>
      <c r="I26" s="45"/>
      <c r="J26" s="45"/>
      <c r="K26" s="45"/>
    </row>
    <row r="27" spans="1:13">
      <c r="A27" s="192"/>
      <c r="B27" s="192"/>
      <c r="C27" s="192"/>
      <c r="D27" s="192"/>
      <c r="E27" s="192"/>
      <c r="F27" s="45"/>
      <c r="G27" s="45"/>
      <c r="H27" s="45"/>
      <c r="I27" s="45"/>
      <c r="J27" s="45"/>
      <c r="K27" s="45"/>
    </row>
    <row r="28" spans="1:13" ht="18.75">
      <c r="A28" s="224" t="s">
        <v>120</v>
      </c>
      <c r="B28" s="224"/>
      <c r="C28" s="224"/>
      <c r="D28" s="224"/>
      <c r="E28" s="224"/>
      <c r="F28" s="45"/>
      <c r="G28" s="45"/>
      <c r="H28" s="45"/>
      <c r="I28" s="45"/>
      <c r="J28" s="45"/>
      <c r="K28" s="45"/>
    </row>
    <row r="29" spans="1:13" ht="14.25" thickBot="1">
      <c r="A29" s="193"/>
      <c r="B29" s="193"/>
      <c r="C29" s="191"/>
      <c r="D29" s="191"/>
      <c r="E29" s="193"/>
      <c r="F29" s="45"/>
      <c r="G29" s="45"/>
      <c r="H29" s="45"/>
      <c r="I29" s="45"/>
      <c r="J29" s="45"/>
      <c r="K29" s="45"/>
    </row>
    <row r="30" spans="1:13" ht="14.85" customHeight="1" thickTop="1">
      <c r="A30" s="216" t="s">
        <v>93</v>
      </c>
      <c r="B30" s="218" t="s">
        <v>116</v>
      </c>
      <c r="C30" s="220" t="s">
        <v>94</v>
      </c>
      <c r="D30" s="220" t="s">
        <v>117</v>
      </c>
      <c r="E30" s="222" t="s">
        <v>118</v>
      </c>
      <c r="F30" s="45"/>
      <c r="G30" s="45"/>
      <c r="H30" s="45"/>
      <c r="I30" s="45"/>
      <c r="J30" s="45"/>
      <c r="K30" s="45"/>
    </row>
    <row r="31" spans="1:13" ht="13.5" thickBot="1">
      <c r="A31" s="217"/>
      <c r="B31" s="219"/>
      <c r="C31" s="221"/>
      <c r="D31" s="221"/>
      <c r="E31" s="223"/>
      <c r="F31" s="45"/>
      <c r="G31" s="45"/>
      <c r="H31" s="45"/>
      <c r="I31" s="45"/>
      <c r="J31" s="45"/>
      <c r="K31" s="45"/>
    </row>
    <row r="32" spans="1:13" ht="14.25" thickTop="1">
      <c r="A32" s="199" t="s">
        <v>80</v>
      </c>
      <c r="B32" s="105">
        <v>303.17030214424949</v>
      </c>
      <c r="C32" s="105">
        <v>525</v>
      </c>
      <c r="D32" s="105">
        <v>369.7</v>
      </c>
      <c r="E32" s="106">
        <f t="shared" ref="E32:E39" si="1">D32/C32-1</f>
        <v>-0.29580952380952386</v>
      </c>
      <c r="F32" s="46"/>
      <c r="G32" s="45"/>
      <c r="H32" s="45"/>
      <c r="I32" s="45"/>
      <c r="J32" s="45"/>
      <c r="K32" s="45"/>
    </row>
    <row r="33" spans="1:13" ht="13.5">
      <c r="A33" s="200" t="s">
        <v>81</v>
      </c>
      <c r="B33" s="107">
        <v>316.75413943355119</v>
      </c>
      <c r="C33" s="107">
        <v>461</v>
      </c>
      <c r="D33" s="107">
        <v>426.25</v>
      </c>
      <c r="E33" s="108">
        <f t="shared" si="1"/>
        <v>-7.537960954446854E-2</v>
      </c>
      <c r="F33" s="46"/>
      <c r="G33" s="45"/>
      <c r="H33" s="45"/>
      <c r="I33" s="45"/>
      <c r="J33" s="45"/>
      <c r="K33" s="45"/>
    </row>
    <row r="34" spans="1:13" ht="13.5">
      <c r="A34" s="200" t="s">
        <v>82</v>
      </c>
      <c r="B34" s="107">
        <v>310.55544590643274</v>
      </c>
      <c r="C34" s="107">
        <v>454.08333333333331</v>
      </c>
      <c r="D34" s="107">
        <v>389.75</v>
      </c>
      <c r="E34" s="108">
        <f t="shared" si="1"/>
        <v>-0.14167737199486141</v>
      </c>
      <c r="F34" s="46"/>
      <c r="G34" s="45"/>
      <c r="H34" s="45"/>
      <c r="I34" s="45"/>
      <c r="J34" s="45"/>
      <c r="K34" s="45"/>
    </row>
    <row r="35" spans="1:13" ht="13.5">
      <c r="A35" s="200" t="s">
        <v>83</v>
      </c>
      <c r="B35" s="107">
        <v>323.95260494987468</v>
      </c>
      <c r="C35" s="107">
        <v>484.42499999999995</v>
      </c>
      <c r="D35" s="107">
        <v>392.65</v>
      </c>
      <c r="E35" s="108">
        <f t="shared" si="1"/>
        <v>-0.18945141146720335</v>
      </c>
      <c r="F35" s="46"/>
      <c r="G35" s="45"/>
      <c r="H35" s="45"/>
      <c r="I35" s="45"/>
      <c r="J35" s="45"/>
      <c r="K35" s="45"/>
    </row>
    <row r="36" spans="1:13" ht="13.5">
      <c r="A36" s="200" t="s">
        <v>84</v>
      </c>
      <c r="B36" s="107">
        <v>324.47502645502647</v>
      </c>
      <c r="C36" s="107">
        <v>484.51333333333332</v>
      </c>
      <c r="D36" s="107">
        <v>376.92</v>
      </c>
      <c r="E36" s="108">
        <f t="shared" si="1"/>
        <v>-0.22206475225999966</v>
      </c>
      <c r="F36" s="46"/>
      <c r="G36" s="45"/>
      <c r="H36" s="45"/>
      <c r="I36" s="45"/>
      <c r="J36" s="45"/>
      <c r="K36" s="45"/>
    </row>
    <row r="37" spans="1:13" ht="13.5">
      <c r="A37" s="200" t="s">
        <v>85</v>
      </c>
      <c r="B37" s="107">
        <v>321.65347222222221</v>
      </c>
      <c r="C37" s="107">
        <v>475.9375</v>
      </c>
      <c r="D37" s="107">
        <v>358.67</v>
      </c>
      <c r="E37" s="108">
        <f t="shared" si="1"/>
        <v>-0.24639264609323697</v>
      </c>
      <c r="F37" s="46"/>
      <c r="G37" s="45"/>
      <c r="H37" s="45"/>
      <c r="I37" s="45"/>
      <c r="J37" s="45"/>
      <c r="K37" s="45"/>
    </row>
    <row r="38" spans="1:13" ht="13.5">
      <c r="A38" s="200" t="s">
        <v>86</v>
      </c>
      <c r="B38" s="107">
        <v>351.10460737179483</v>
      </c>
      <c r="C38" s="107">
        <v>452.58333333333331</v>
      </c>
      <c r="D38" s="107">
        <v>357.4</v>
      </c>
      <c r="E38" s="108">
        <f t="shared" si="1"/>
        <v>-0.21031117657889897</v>
      </c>
      <c r="F38" s="46"/>
      <c r="G38" s="45"/>
      <c r="H38" s="45"/>
      <c r="I38" s="45"/>
      <c r="J38" s="45"/>
      <c r="K38" s="45"/>
    </row>
    <row r="39" spans="1:13" ht="13.5">
      <c r="A39" s="200" t="s">
        <v>87</v>
      </c>
      <c r="B39" s="107">
        <v>331.83035714285717</v>
      </c>
      <c r="C39" s="107">
        <v>436.46428571428572</v>
      </c>
      <c r="D39" s="107">
        <v>349.38</v>
      </c>
      <c r="E39" s="108">
        <f t="shared" si="1"/>
        <v>-0.19952213403158503</v>
      </c>
      <c r="F39" s="46"/>
      <c r="G39" s="45"/>
      <c r="H39" s="45"/>
      <c r="I39" s="45"/>
      <c r="J39" s="45"/>
      <c r="K39" s="45"/>
    </row>
    <row r="40" spans="1:13" ht="13.5">
      <c r="A40" s="200" t="s">
        <v>88</v>
      </c>
      <c r="B40" s="107">
        <v>325.6205393939394</v>
      </c>
      <c r="C40" s="107">
        <v>425.983</v>
      </c>
      <c r="D40" s="107"/>
      <c r="E40" s="108"/>
      <c r="F40" s="46"/>
      <c r="G40" s="45"/>
      <c r="H40" s="45"/>
      <c r="I40" s="45"/>
      <c r="J40" s="45"/>
      <c r="K40" s="45"/>
    </row>
    <row r="41" spans="1:13" ht="13.5">
      <c r="A41" s="200" t="s">
        <v>89</v>
      </c>
      <c r="B41" s="107">
        <v>321.45825000000002</v>
      </c>
      <c r="C41" s="107">
        <v>408.83333333333331</v>
      </c>
      <c r="D41" s="107"/>
      <c r="E41" s="108"/>
      <c r="F41" s="46"/>
      <c r="G41" s="45"/>
      <c r="H41" s="45"/>
      <c r="I41" s="45"/>
      <c r="J41" s="45"/>
      <c r="K41" s="45"/>
    </row>
    <row r="42" spans="1:13" ht="13.5">
      <c r="A42" s="200" t="s">
        <v>90</v>
      </c>
      <c r="B42" s="107">
        <v>324.46400000000006</v>
      </c>
      <c r="C42" s="107">
        <v>372.5</v>
      </c>
      <c r="D42" s="107"/>
      <c r="E42" s="108"/>
      <c r="F42" s="46"/>
      <c r="G42" s="45"/>
      <c r="H42" s="45"/>
      <c r="I42" s="45"/>
      <c r="J42" s="45"/>
      <c r="K42" s="45"/>
    </row>
    <row r="43" spans="1:13" ht="14.25" thickBot="1">
      <c r="A43" s="201" t="s">
        <v>91</v>
      </c>
      <c r="B43" s="109">
        <v>334.18151515151516</v>
      </c>
      <c r="C43" s="109">
        <v>368.91666666666669</v>
      </c>
      <c r="D43" s="109"/>
      <c r="E43" s="110"/>
      <c r="F43" s="46"/>
      <c r="G43" s="45"/>
      <c r="H43" s="45"/>
      <c r="I43" s="45"/>
      <c r="J43" s="45"/>
      <c r="K43" s="45"/>
    </row>
    <row r="44" spans="1:13" ht="16.5" thickTop="1">
      <c r="A44" s="192" t="s">
        <v>92</v>
      </c>
      <c r="B44" s="192"/>
      <c r="C44" s="192"/>
      <c r="D44" s="192"/>
      <c r="E44" s="192"/>
      <c r="F44" s="45"/>
      <c r="G44" s="45" t="s">
        <v>92</v>
      </c>
      <c r="H44" s="45"/>
      <c r="I44" s="45"/>
      <c r="J44" s="45"/>
      <c r="K44" s="45"/>
    </row>
    <row r="45" spans="1:13">
      <c r="A45" s="192"/>
      <c r="B45" s="194"/>
      <c r="C45" s="194"/>
      <c r="D45" s="194"/>
      <c r="E45" s="192"/>
      <c r="F45" s="45"/>
      <c r="G45" s="45"/>
      <c r="H45" s="45"/>
      <c r="I45" s="45"/>
      <c r="J45" s="45"/>
      <c r="K45" s="45"/>
    </row>
    <row r="46" spans="1:13" ht="15.75" customHeight="1">
      <c r="A46" s="192"/>
      <c r="B46" s="192"/>
      <c r="C46" s="195"/>
      <c r="D46" s="195"/>
      <c r="E46" s="195"/>
      <c r="F46" s="47"/>
      <c r="G46" s="47"/>
      <c r="H46" s="47"/>
      <c r="I46" s="47"/>
      <c r="J46" s="47"/>
      <c r="K46" s="47"/>
      <c r="L46" s="40"/>
      <c r="M46" s="40"/>
    </row>
    <row r="47" spans="1:13" s="37" customFormat="1" ht="18">
      <c r="A47" s="202" t="s">
        <v>95</v>
      </c>
      <c r="B47" s="196"/>
      <c r="C47" s="197"/>
      <c r="D47" s="197"/>
      <c r="E47" s="197"/>
      <c r="F47" s="48"/>
      <c r="G47" s="43"/>
      <c r="H47" s="43"/>
      <c r="I47" s="43"/>
      <c r="J47" s="43"/>
      <c r="K47" s="48"/>
      <c r="L47" s="41"/>
    </row>
    <row r="48" spans="1:13" s="37" customFormat="1" ht="12.75" customHeight="1" thickBot="1">
      <c r="A48" s="193"/>
      <c r="B48" s="193"/>
      <c r="C48" s="191"/>
      <c r="D48" s="191"/>
      <c r="E48" s="193"/>
      <c r="F48" s="226"/>
      <c r="G48" s="226"/>
      <c r="H48" s="226"/>
      <c r="I48" s="226"/>
      <c r="J48" s="226"/>
      <c r="K48" s="226"/>
      <c r="L48" s="42"/>
      <c r="M48" s="42"/>
    </row>
    <row r="49" spans="1:11" s="37" customFormat="1" ht="14.85" customHeight="1" thickTop="1">
      <c r="A49" s="216" t="s">
        <v>96</v>
      </c>
      <c r="B49" s="227" t="s">
        <v>116</v>
      </c>
      <c r="C49" s="229" t="s">
        <v>94</v>
      </c>
      <c r="D49" s="229" t="s">
        <v>117</v>
      </c>
      <c r="E49" s="230" t="s">
        <v>118</v>
      </c>
      <c r="F49" s="43"/>
      <c r="G49" s="43"/>
      <c r="H49" s="43"/>
      <c r="I49" s="43"/>
      <c r="J49" s="43"/>
      <c r="K49" s="43"/>
    </row>
    <row r="50" spans="1:11" s="37" customFormat="1" ht="12" thickBot="1">
      <c r="A50" s="217"/>
      <c r="B50" s="228"/>
      <c r="C50" s="221"/>
      <c r="D50" s="221"/>
      <c r="E50" s="231"/>
      <c r="F50" s="43"/>
      <c r="G50" s="43"/>
      <c r="H50" s="43"/>
      <c r="I50" s="43"/>
      <c r="J50" s="43"/>
      <c r="K50" s="43"/>
    </row>
    <row r="51" spans="1:11" s="37" customFormat="1" ht="13.5" thickTop="1">
      <c r="A51" s="203" t="s">
        <v>80</v>
      </c>
      <c r="B51" s="49">
        <v>182.48405525846701</v>
      </c>
      <c r="C51" s="49">
        <v>325.08</v>
      </c>
      <c r="D51" s="49">
        <v>238.38</v>
      </c>
      <c r="E51" s="50">
        <f>D51/C51-1</f>
        <v>-0.26670358065706901</v>
      </c>
      <c r="F51" s="43"/>
      <c r="G51" s="43"/>
      <c r="H51" s="43"/>
      <c r="I51" s="43"/>
      <c r="J51" s="43"/>
      <c r="K51" s="43"/>
    </row>
    <row r="52" spans="1:11" s="37" customFormat="1" ht="12.75">
      <c r="A52" s="204" t="s">
        <v>81</v>
      </c>
      <c r="B52" s="51">
        <v>180.55569561157796</v>
      </c>
      <c r="C52" s="51">
        <v>346.69</v>
      </c>
      <c r="D52" s="51">
        <v>230.25</v>
      </c>
      <c r="E52" s="52">
        <f t="shared" ref="E52:E59" si="2">D52/C52-1</f>
        <v>-0.33586200928783638</v>
      </c>
      <c r="F52" s="43"/>
      <c r="G52" s="43"/>
      <c r="H52" s="43"/>
      <c r="I52" s="43"/>
      <c r="J52" s="43"/>
      <c r="K52" s="43"/>
    </row>
    <row r="53" spans="1:11" s="37" customFormat="1" ht="12.75">
      <c r="A53" s="204" t="s">
        <v>82</v>
      </c>
      <c r="B53" s="51">
        <v>178.18738095238095</v>
      </c>
      <c r="C53" s="51">
        <v>342.84</v>
      </c>
      <c r="D53" s="51">
        <v>214.74</v>
      </c>
      <c r="E53" s="52">
        <f t="shared" si="2"/>
        <v>-0.37364368218410915</v>
      </c>
      <c r="F53" s="43"/>
      <c r="G53" s="43"/>
      <c r="H53" s="43"/>
      <c r="I53" s="43"/>
      <c r="J53" s="43"/>
      <c r="K53" s="43"/>
    </row>
    <row r="54" spans="1:11" s="37" customFormat="1" ht="12.75">
      <c r="A54" s="204" t="s">
        <v>83</v>
      </c>
      <c r="B54" s="51">
        <v>184.64072463768113</v>
      </c>
      <c r="C54" s="51">
        <v>348.44</v>
      </c>
      <c r="D54" s="51">
        <v>204.21</v>
      </c>
      <c r="E54" s="52">
        <f t="shared" si="2"/>
        <v>-0.41393066238089771</v>
      </c>
      <c r="F54" s="43"/>
      <c r="G54" s="43"/>
      <c r="H54" s="43"/>
      <c r="I54" s="43"/>
      <c r="J54" s="43"/>
      <c r="K54" s="43"/>
    </row>
    <row r="55" spans="1:11" s="37" customFormat="1" ht="12.75">
      <c r="A55" s="204" t="s">
        <v>84</v>
      </c>
      <c r="B55" s="51">
        <v>186.70588554720135</v>
      </c>
      <c r="C55" s="51">
        <v>325.89999999999998</v>
      </c>
      <c r="D55" s="51">
        <v>205.45</v>
      </c>
      <c r="E55" s="52">
        <f t="shared" si="2"/>
        <v>-0.36959189935563053</v>
      </c>
      <c r="F55" s="43"/>
      <c r="G55" s="43"/>
      <c r="H55" s="43"/>
      <c r="I55" s="43"/>
      <c r="J55" s="43"/>
      <c r="K55" s="43"/>
    </row>
    <row r="56" spans="1:11" s="37" customFormat="1" ht="12.75">
      <c r="A56" s="204" t="s">
        <v>85</v>
      </c>
      <c r="B56" s="51">
        <v>186.20027777777779</v>
      </c>
      <c r="C56" s="51">
        <v>296.52</v>
      </c>
      <c r="D56" s="51">
        <v>200.19</v>
      </c>
      <c r="E56" s="52">
        <f t="shared" si="2"/>
        <v>-0.32486847430190202</v>
      </c>
      <c r="F56" s="43"/>
      <c r="G56" s="43"/>
      <c r="H56" s="43"/>
      <c r="I56" s="43"/>
      <c r="J56" s="43"/>
      <c r="K56" s="43"/>
    </row>
    <row r="57" spans="1:11" s="39" customFormat="1" ht="12.95" customHeight="1">
      <c r="A57" s="204" t="s">
        <v>86</v>
      </c>
      <c r="B57" s="51">
        <v>191.66384360376463</v>
      </c>
      <c r="C57" s="51">
        <v>291.83999999999997</v>
      </c>
      <c r="D57" s="51">
        <v>192.21</v>
      </c>
      <c r="E57" s="52">
        <f t="shared" si="2"/>
        <v>-0.34138569078947356</v>
      </c>
      <c r="F57" s="44"/>
      <c r="G57" s="44"/>
      <c r="H57" s="44"/>
      <c r="I57" s="44"/>
      <c r="J57" s="44"/>
      <c r="K57" s="44"/>
    </row>
    <row r="58" spans="1:11" s="37" customFormat="1" ht="12.95" customHeight="1">
      <c r="A58" s="204" t="s">
        <v>87</v>
      </c>
      <c r="B58" s="51">
        <v>194.64973949579831</v>
      </c>
      <c r="C58" s="51">
        <v>301.8</v>
      </c>
      <c r="D58" s="51">
        <v>177.34</v>
      </c>
      <c r="E58" s="52">
        <f t="shared" si="2"/>
        <v>-0.41239231278992716</v>
      </c>
      <c r="F58" s="43"/>
      <c r="G58" s="43"/>
      <c r="H58" s="43"/>
      <c r="I58" s="43"/>
      <c r="J58" s="43"/>
      <c r="K58" s="43"/>
    </row>
    <row r="59" spans="1:11" s="37" customFormat="1" ht="12.95" customHeight="1">
      <c r="A59" s="204" t="s">
        <v>88</v>
      </c>
      <c r="B59" s="51">
        <v>212.07763713260425</v>
      </c>
      <c r="C59" s="51">
        <v>279.04000000000002</v>
      </c>
      <c r="D59" s="51">
        <v>180.24</v>
      </c>
      <c r="E59" s="52">
        <f t="shared" si="2"/>
        <v>-0.35407110091743121</v>
      </c>
      <c r="F59" s="43"/>
      <c r="G59" s="43"/>
      <c r="H59" s="43"/>
      <c r="I59" s="43"/>
      <c r="J59" s="43"/>
      <c r="K59" s="43"/>
    </row>
    <row r="60" spans="1:11" s="37" customFormat="1" ht="12.95" customHeight="1">
      <c r="A60" s="204" t="s">
        <v>89</v>
      </c>
      <c r="B60" s="51">
        <v>211.63387279473196</v>
      </c>
      <c r="C60" s="51">
        <v>258.83</v>
      </c>
      <c r="D60" s="51"/>
      <c r="E60" s="52"/>
      <c r="F60" s="43"/>
      <c r="G60" s="43"/>
      <c r="H60" s="43"/>
      <c r="I60" s="43"/>
      <c r="J60" s="43"/>
      <c r="K60" s="43"/>
    </row>
    <row r="61" spans="1:11" s="37" customFormat="1" ht="12.95" customHeight="1">
      <c r="A61" s="204" t="s">
        <v>90</v>
      </c>
      <c r="B61" s="51">
        <v>221.01069635627533</v>
      </c>
      <c r="C61" s="51">
        <v>232.87</v>
      </c>
      <c r="D61" s="51"/>
      <c r="E61" s="52"/>
      <c r="F61" s="43"/>
      <c r="G61" s="43"/>
      <c r="H61" s="43"/>
      <c r="I61" s="43"/>
      <c r="J61" s="43"/>
      <c r="K61" s="43"/>
    </row>
    <row r="62" spans="1:11" s="37" customFormat="1" ht="12.95" customHeight="1" thickBot="1">
      <c r="A62" s="205" t="s">
        <v>91</v>
      </c>
      <c r="B62" s="53">
        <v>214.10492063492066</v>
      </c>
      <c r="C62" s="53">
        <v>239.06</v>
      </c>
      <c r="D62" s="53"/>
      <c r="E62" s="54"/>
      <c r="F62" s="43"/>
      <c r="G62" s="43"/>
      <c r="H62" s="43"/>
      <c r="I62" s="45"/>
      <c r="J62" s="43"/>
      <c r="K62" s="43"/>
    </row>
    <row r="63" spans="1:11" ht="16.5" thickTop="1">
      <c r="A63" s="192" t="s">
        <v>92</v>
      </c>
      <c r="B63" s="191"/>
      <c r="C63" s="192"/>
      <c r="D63" s="192"/>
      <c r="E63" s="192"/>
      <c r="F63" s="45"/>
      <c r="G63" s="45" t="s">
        <v>92</v>
      </c>
      <c r="H63" s="45"/>
      <c r="I63" s="45"/>
      <c r="J63" s="45"/>
      <c r="K63" s="45"/>
    </row>
    <row r="64" spans="1:11">
      <c r="A64" s="192"/>
      <c r="B64" s="192"/>
      <c r="C64" s="192"/>
      <c r="D64" s="192"/>
      <c r="E64" s="192"/>
      <c r="F64" s="45"/>
      <c r="G64" s="45"/>
      <c r="H64" s="45"/>
      <c r="I64" s="45"/>
      <c r="J64" s="45"/>
      <c r="K64" s="45"/>
    </row>
    <row r="65" spans="1:11">
      <c r="A65" s="192"/>
      <c r="B65" s="192"/>
      <c r="C65" s="192"/>
      <c r="D65" s="192"/>
      <c r="E65" s="192"/>
      <c r="F65" s="45"/>
      <c r="G65" s="45"/>
      <c r="H65" s="45"/>
      <c r="I65" s="45"/>
      <c r="J65" s="45"/>
      <c r="K65" s="45"/>
    </row>
    <row r="66" spans="1:11">
      <c r="A66" s="192"/>
      <c r="B66" s="192"/>
      <c r="C66" s="192"/>
      <c r="D66" s="192"/>
      <c r="E66" s="192"/>
      <c r="F66" s="45"/>
      <c r="G66" s="45"/>
      <c r="H66" s="45"/>
      <c r="I66" s="45"/>
      <c r="J66" s="45"/>
      <c r="K66" s="45"/>
    </row>
    <row r="67" spans="1:11">
      <c r="A67" s="192"/>
      <c r="B67" s="192"/>
      <c r="C67" s="192"/>
      <c r="D67" s="192"/>
      <c r="E67" s="192"/>
      <c r="F67" s="45"/>
      <c r="G67" s="45"/>
      <c r="H67" s="45"/>
      <c r="I67" s="45"/>
      <c r="J67" s="45"/>
      <c r="K67" s="45"/>
    </row>
    <row r="68" spans="1:11">
      <c r="A68" s="192"/>
      <c r="B68" s="192"/>
      <c r="C68" s="192"/>
      <c r="D68" s="192"/>
      <c r="E68" s="192"/>
      <c r="F68" s="45"/>
      <c r="G68" s="45"/>
      <c r="H68" s="45"/>
      <c r="I68" s="45"/>
      <c r="J68" s="45"/>
      <c r="K68" s="45"/>
    </row>
    <row r="69" spans="1:11">
      <c r="A69" s="192"/>
      <c r="B69" s="192"/>
      <c r="C69" s="192"/>
      <c r="D69" s="192"/>
      <c r="E69" s="192"/>
      <c r="F69" s="45"/>
      <c r="G69" s="45"/>
      <c r="H69" s="45"/>
      <c r="I69" s="45"/>
      <c r="J69" s="45"/>
      <c r="K69" s="45"/>
    </row>
    <row r="70" spans="1:11">
      <c r="A70" s="192"/>
      <c r="B70" s="192"/>
      <c r="C70" s="192"/>
      <c r="D70" s="192"/>
      <c r="E70" s="192"/>
      <c r="F70" s="45"/>
      <c r="G70" s="45"/>
      <c r="H70" s="45"/>
      <c r="I70" s="45"/>
      <c r="J70" s="45"/>
      <c r="K70" s="45"/>
    </row>
    <row r="71" spans="1:11">
      <c r="A71" s="192"/>
      <c r="B71" s="192"/>
      <c r="C71" s="192"/>
      <c r="D71" s="192"/>
      <c r="E71" s="192"/>
      <c r="F71" s="45"/>
      <c r="G71" s="45"/>
      <c r="H71" s="45"/>
      <c r="I71" s="45"/>
      <c r="J71" s="45"/>
      <c r="K71" s="45"/>
    </row>
    <row r="72" spans="1:11">
      <c r="A72" s="192"/>
      <c r="B72" s="192"/>
      <c r="C72" s="192"/>
      <c r="D72" s="192"/>
      <c r="E72" s="192"/>
      <c r="F72" s="45"/>
      <c r="G72" s="45"/>
      <c r="H72" s="45"/>
      <c r="I72" s="45"/>
      <c r="J72" s="45"/>
      <c r="K72" s="45"/>
    </row>
    <row r="73" spans="1:11">
      <c r="A73" s="192"/>
      <c r="B73" s="192"/>
      <c r="C73" s="192"/>
      <c r="D73" s="192"/>
      <c r="E73" s="192"/>
      <c r="F73" s="45"/>
      <c r="G73" s="45"/>
      <c r="H73" s="45"/>
      <c r="I73" s="45"/>
      <c r="J73" s="45"/>
      <c r="K73" s="45"/>
    </row>
    <row r="74" spans="1:11">
      <c r="A74" s="192"/>
      <c r="B74" s="192"/>
      <c r="C74" s="192"/>
      <c r="D74" s="192"/>
      <c r="E74" s="192"/>
      <c r="F74" s="45"/>
      <c r="G74" s="45"/>
      <c r="H74" s="45"/>
      <c r="I74" s="45"/>
      <c r="J74" s="45"/>
      <c r="K74" s="45"/>
    </row>
    <row r="75" spans="1:11">
      <c r="A75" s="192"/>
      <c r="B75" s="192"/>
      <c r="C75" s="192"/>
      <c r="D75" s="192"/>
      <c r="E75" s="192"/>
      <c r="F75" s="45"/>
      <c r="G75" s="45"/>
      <c r="H75" s="45"/>
      <c r="I75" s="45"/>
      <c r="J75" s="45"/>
      <c r="K75" s="45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A9:E9"/>
    <mergeCell ref="G12:I12"/>
    <mergeCell ref="A28:E28"/>
    <mergeCell ref="A30:A31"/>
    <mergeCell ref="B30:B31"/>
    <mergeCell ref="C30:C31"/>
    <mergeCell ref="D30:D31"/>
    <mergeCell ref="E30:E31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P31" sqref="P31"/>
    </sheetView>
  </sheetViews>
  <sheetFormatPr baseColWidth="10" defaultColWidth="11.5703125" defaultRowHeight="15.75"/>
  <cols>
    <col min="1" max="5" width="11.5703125" style="208"/>
    <col min="6" max="16384" width="11.5703125" style="55"/>
  </cols>
  <sheetData>
    <row r="1" spans="1:18" ht="18">
      <c r="A1" s="206" t="s">
        <v>97</v>
      </c>
      <c r="B1" s="207"/>
      <c r="C1" s="207"/>
      <c r="D1" s="207"/>
      <c r="E1" s="207"/>
    </row>
    <row r="2" spans="1:18" ht="16.5" thickBot="1">
      <c r="A2" s="207"/>
      <c r="B2" s="207"/>
      <c r="C2" s="207"/>
      <c r="D2" s="207"/>
      <c r="E2" s="207"/>
    </row>
    <row r="3" spans="1:18" ht="13.5" thickTop="1">
      <c r="A3" s="216" t="s">
        <v>96</v>
      </c>
      <c r="B3" s="227" t="s">
        <v>116</v>
      </c>
      <c r="C3" s="229" t="s">
        <v>94</v>
      </c>
      <c r="D3" s="229" t="s">
        <v>117</v>
      </c>
      <c r="E3" s="230" t="s">
        <v>118</v>
      </c>
    </row>
    <row r="4" spans="1:18" ht="13.5" thickBot="1">
      <c r="A4" s="217" t="s">
        <v>80</v>
      </c>
      <c r="B4" s="228"/>
      <c r="C4" s="221"/>
      <c r="D4" s="221"/>
      <c r="E4" s="231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4.25" thickTop="1">
      <c r="A5" s="203" t="s">
        <v>119</v>
      </c>
      <c r="B5" s="49">
        <v>395.50833333333333</v>
      </c>
      <c r="C5" s="49">
        <v>652.33333333333337</v>
      </c>
      <c r="D5" s="49">
        <v>471.17</v>
      </c>
      <c r="E5" s="50">
        <f t="shared" ref="E5:E13" si="0">D5/C5-1</f>
        <v>-0.27771589167092492</v>
      </c>
    </row>
    <row r="6" spans="1:18" ht="13.5">
      <c r="A6" s="204" t="s">
        <v>81</v>
      </c>
      <c r="B6" s="51">
        <v>407.18333333333334</v>
      </c>
      <c r="C6" s="51">
        <v>628.5</v>
      </c>
      <c r="D6" s="51">
        <v>453</v>
      </c>
      <c r="E6" s="52">
        <f t="shared" si="0"/>
        <v>-0.27923627684964203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8" ht="13.5">
      <c r="A7" s="204" t="s">
        <v>82</v>
      </c>
      <c r="B7" s="51">
        <v>417.92500000000001</v>
      </c>
      <c r="C7" s="51">
        <v>598.70000000000005</v>
      </c>
      <c r="D7" s="51">
        <v>458</v>
      </c>
      <c r="E7" s="52">
        <f t="shared" si="0"/>
        <v>-0.23500918657090364</v>
      </c>
    </row>
    <row r="8" spans="1:18" ht="13.5">
      <c r="A8" s="204" t="s">
        <v>83</v>
      </c>
      <c r="B8" s="51">
        <v>433.32499999999999</v>
      </c>
      <c r="C8" s="51">
        <v>627.375</v>
      </c>
      <c r="D8" s="51">
        <v>437.38</v>
      </c>
      <c r="E8" s="52">
        <f t="shared" si="0"/>
        <v>-0.30284120342697751</v>
      </c>
    </row>
    <row r="9" spans="1:18" ht="13.5">
      <c r="A9" s="204" t="s">
        <v>84</v>
      </c>
      <c r="B9" s="51">
        <v>446.62333333333333</v>
      </c>
      <c r="C9" s="51">
        <v>617</v>
      </c>
      <c r="D9" s="51">
        <v>438</v>
      </c>
      <c r="E9" s="52">
        <f t="shared" si="0"/>
        <v>-0.29011345218800644</v>
      </c>
    </row>
    <row r="10" spans="1:18" ht="13.5">
      <c r="A10" s="204" t="s">
        <v>85</v>
      </c>
      <c r="B10" s="51">
        <v>442.73333333333341</v>
      </c>
      <c r="C10" s="51">
        <v>572.66666666666663</v>
      </c>
      <c r="D10" s="51">
        <v>428</v>
      </c>
      <c r="E10" s="52">
        <f t="shared" si="0"/>
        <v>-0.25261932479627469</v>
      </c>
    </row>
    <row r="11" spans="1:18" ht="13.5">
      <c r="A11" s="204" t="s">
        <v>86</v>
      </c>
      <c r="B11" s="51">
        <v>456.5</v>
      </c>
      <c r="C11" s="51">
        <v>548.875</v>
      </c>
      <c r="D11" s="51">
        <v>423.125</v>
      </c>
      <c r="E11" s="52">
        <f t="shared" si="0"/>
        <v>-0.22910498747437946</v>
      </c>
    </row>
    <row r="12" spans="1:18" ht="13.5">
      <c r="A12" s="204" t="s">
        <v>87</v>
      </c>
      <c r="B12" s="51">
        <v>455.25</v>
      </c>
      <c r="C12" s="51">
        <v>541.25</v>
      </c>
      <c r="D12" s="51">
        <v>413.6</v>
      </c>
      <c r="E12" s="52">
        <f t="shared" si="0"/>
        <v>-0.23584295612009232</v>
      </c>
    </row>
    <row r="13" spans="1:18" ht="13.5">
      <c r="A13" s="204" t="s">
        <v>88</v>
      </c>
      <c r="B13" s="51">
        <v>528.125</v>
      </c>
      <c r="C13" s="51">
        <v>471.1</v>
      </c>
      <c r="D13" s="51">
        <v>433.5</v>
      </c>
      <c r="E13" s="52">
        <f t="shared" si="0"/>
        <v>-7.9813203141583577E-2</v>
      </c>
    </row>
    <row r="14" spans="1:18" ht="13.5">
      <c r="A14" s="204" t="s">
        <v>89</v>
      </c>
      <c r="B14" s="51">
        <v>511.86666666666662</v>
      </c>
      <c r="C14" s="51">
        <v>427.16666666666669</v>
      </c>
      <c r="D14" s="51"/>
      <c r="E14" s="52"/>
    </row>
    <row r="15" spans="1:18" ht="13.5">
      <c r="A15" s="204" t="s">
        <v>90</v>
      </c>
      <c r="B15" s="51">
        <v>485.41666666666669</v>
      </c>
      <c r="C15" s="51">
        <v>416.16666666666669</v>
      </c>
      <c r="D15" s="51"/>
      <c r="E15" s="52"/>
    </row>
    <row r="16" spans="1:18" ht="14.25" thickBot="1">
      <c r="A16" s="205" t="s">
        <v>91</v>
      </c>
      <c r="B16" s="53">
        <v>458.39</v>
      </c>
      <c r="C16" s="53">
        <v>426.5</v>
      </c>
      <c r="D16" s="53"/>
      <c r="E16" s="54"/>
    </row>
    <row r="17" spans="1:17" ht="16.5" thickTop="1">
      <c r="A17" s="207" t="s">
        <v>92</v>
      </c>
      <c r="B17" s="209"/>
      <c r="C17" s="207"/>
      <c r="D17" s="207"/>
      <c r="E17" s="207"/>
    </row>
    <row r="18" spans="1:17">
      <c r="A18" s="207"/>
      <c r="B18" s="207"/>
      <c r="C18" s="207"/>
      <c r="D18" s="207"/>
      <c r="E18" s="207"/>
    </row>
    <row r="19" spans="1:17" ht="18">
      <c r="A19" s="206" t="s">
        <v>98</v>
      </c>
      <c r="B19" s="207"/>
      <c r="C19" s="207"/>
      <c r="D19" s="207"/>
      <c r="E19" s="207"/>
    </row>
    <row r="20" spans="1:17" ht="32.1" customHeight="1" thickBot="1">
      <c r="A20" s="207"/>
      <c r="B20" s="207"/>
      <c r="C20" s="207"/>
      <c r="D20" s="207"/>
      <c r="E20" s="207"/>
    </row>
    <row r="21" spans="1:17" ht="13.5" customHeight="1" thickTop="1">
      <c r="A21" s="216" t="s">
        <v>96</v>
      </c>
      <c r="B21" s="227" t="s">
        <v>116</v>
      </c>
      <c r="C21" s="229" t="s">
        <v>94</v>
      </c>
      <c r="D21" s="229" t="s">
        <v>117</v>
      </c>
      <c r="E21" s="230" t="s">
        <v>118</v>
      </c>
    </row>
    <row r="22" spans="1:17" ht="13.5" thickBot="1">
      <c r="A22" s="217" t="s">
        <v>80</v>
      </c>
      <c r="B22" s="228"/>
      <c r="C22" s="221"/>
      <c r="D22" s="221"/>
      <c r="E22" s="23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4.25" thickTop="1">
      <c r="A23" s="203" t="s">
        <v>119</v>
      </c>
      <c r="B23" s="49">
        <v>357.16666666666663</v>
      </c>
      <c r="C23" s="49">
        <v>636.66666666666663</v>
      </c>
      <c r="D23" s="49">
        <v>466.67</v>
      </c>
      <c r="E23" s="50">
        <f t="shared" ref="E23:E31" si="1">D23/C23-1</f>
        <v>-0.26701047120418842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3.5">
      <c r="A24" s="204" t="s">
        <v>81</v>
      </c>
      <c r="B24" s="51">
        <v>365.6</v>
      </c>
      <c r="C24" s="51">
        <v>642.5</v>
      </c>
      <c r="D24" s="51">
        <v>441.67</v>
      </c>
      <c r="E24" s="52">
        <f t="shared" si="1"/>
        <v>-0.31257587548638133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3.5">
      <c r="A25" s="204" t="s">
        <v>82</v>
      </c>
      <c r="B25" s="51">
        <v>374.05</v>
      </c>
      <c r="C25" s="51">
        <v>585</v>
      </c>
      <c r="D25" s="51">
        <v>418.13</v>
      </c>
      <c r="E25" s="52">
        <f t="shared" si="1"/>
        <v>-0.28524786324786322</v>
      </c>
    </row>
    <row r="26" spans="1:17" ht="13.5">
      <c r="A26" s="204" t="s">
        <v>83</v>
      </c>
      <c r="B26" s="51">
        <v>392</v>
      </c>
      <c r="C26" s="51">
        <v>639.375</v>
      </c>
      <c r="D26" s="51">
        <v>406.25</v>
      </c>
      <c r="E26" s="52">
        <f t="shared" si="1"/>
        <v>-0.36461388074291301</v>
      </c>
    </row>
    <row r="27" spans="1:17" ht="13.5">
      <c r="A27" s="204" t="s">
        <v>84</v>
      </c>
      <c r="B27" s="51">
        <v>404.65333333333331</v>
      </c>
      <c r="C27" s="51">
        <v>635</v>
      </c>
      <c r="D27" s="51">
        <v>417.5</v>
      </c>
      <c r="E27" s="52">
        <f t="shared" si="1"/>
        <v>-0.34251968503937003</v>
      </c>
    </row>
    <row r="28" spans="1:17" ht="13.5">
      <c r="A28" s="204" t="s">
        <v>85</v>
      </c>
      <c r="B28" s="51">
        <v>401.5</v>
      </c>
      <c r="C28" s="51">
        <v>578.33333333333337</v>
      </c>
      <c r="D28" s="51">
        <v>422.5</v>
      </c>
      <c r="E28" s="52">
        <f t="shared" si="1"/>
        <v>-0.26945244956772341</v>
      </c>
    </row>
    <row r="29" spans="1:17" ht="13.5">
      <c r="A29" s="204" t="s">
        <v>86</v>
      </c>
      <c r="B29" s="51">
        <v>414.3</v>
      </c>
      <c r="C29" s="51">
        <v>562.5</v>
      </c>
      <c r="D29" s="51">
        <v>406.25</v>
      </c>
      <c r="E29" s="52">
        <f t="shared" si="1"/>
        <v>-0.27777777777777779</v>
      </c>
    </row>
    <row r="30" spans="1:17" ht="13.5">
      <c r="A30" s="204" t="s">
        <v>87</v>
      </c>
      <c r="B30" s="51">
        <v>423.9</v>
      </c>
      <c r="C30" s="51">
        <v>560</v>
      </c>
      <c r="D30" s="51">
        <v>398</v>
      </c>
      <c r="E30" s="52">
        <f t="shared" si="1"/>
        <v>-0.28928571428571426</v>
      </c>
    </row>
    <row r="31" spans="1:17" ht="13.5">
      <c r="A31" s="204" t="s">
        <v>88</v>
      </c>
      <c r="B31" s="51">
        <v>514.38750000000005</v>
      </c>
      <c r="C31" s="51">
        <v>477.5</v>
      </c>
      <c r="D31" s="51">
        <v>405</v>
      </c>
      <c r="E31" s="52">
        <f t="shared" si="1"/>
        <v>-0.15183246073298429</v>
      </c>
    </row>
    <row r="32" spans="1:17" ht="13.5">
      <c r="A32" s="204" t="s">
        <v>89</v>
      </c>
      <c r="B32" s="51">
        <v>455.9</v>
      </c>
      <c r="C32" s="51">
        <v>458.125</v>
      </c>
      <c r="D32" s="51"/>
      <c r="E32" s="52"/>
    </row>
    <row r="33" spans="1:5" ht="13.5">
      <c r="A33" s="204" t="s">
        <v>90</v>
      </c>
      <c r="B33" s="51">
        <v>458.5</v>
      </c>
      <c r="C33" s="51">
        <v>431.66666666666669</v>
      </c>
      <c r="D33" s="51"/>
      <c r="E33" s="52"/>
    </row>
    <row r="34" spans="1:5" ht="14.25" thickBot="1">
      <c r="A34" s="205" t="s">
        <v>91</v>
      </c>
      <c r="B34" s="53">
        <v>430.25</v>
      </c>
      <c r="C34" s="53">
        <v>423</v>
      </c>
      <c r="D34" s="53"/>
      <c r="E34" s="54"/>
    </row>
    <row r="35" spans="1:5" ht="16.5" thickTop="1"/>
  </sheetData>
  <mergeCells count="10">
    <mergeCell ref="A3:A4"/>
    <mergeCell ref="B3:B4"/>
    <mergeCell ref="C3:C4"/>
    <mergeCell ref="D3:D4"/>
    <mergeCell ref="E3:E4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topLeftCell="A43" zoomScale="90" zoomScaleNormal="90" workbookViewId="0">
      <selection activeCell="P63" sqref="P63"/>
    </sheetView>
  </sheetViews>
  <sheetFormatPr baseColWidth="10" defaultColWidth="11.5703125" defaultRowHeight="12" customHeight="1"/>
  <cols>
    <col min="1" max="1" width="20" style="58" customWidth="1"/>
    <col min="2" max="11" width="7.5703125" style="59" customWidth="1"/>
    <col min="12" max="12" width="10.42578125" style="59" customWidth="1"/>
    <col min="13" max="13" width="6.5703125" style="62" customWidth="1"/>
    <col min="14" max="14" width="10.5703125" style="62" customWidth="1"/>
    <col min="15" max="15" width="7.5703125" style="62" customWidth="1"/>
    <col min="16" max="16" width="9.28515625" style="62" customWidth="1"/>
    <col min="17" max="17" width="5.5703125" style="59" customWidth="1"/>
    <col min="18" max="18" width="7" style="59" customWidth="1"/>
    <col min="19" max="19" width="6" style="59" customWidth="1"/>
    <col min="20" max="20" width="6.5703125" style="59" customWidth="1"/>
    <col min="21" max="21" width="8" style="61" customWidth="1"/>
    <col min="22" max="22" width="7.5703125" style="59" customWidth="1"/>
    <col min="23" max="24" width="14.42578125" style="59" customWidth="1"/>
    <col min="25" max="25" width="20.140625" style="59" customWidth="1"/>
    <col min="26" max="26" width="16.140625" style="59" customWidth="1"/>
    <col min="27" max="16384" width="11.5703125" style="59"/>
  </cols>
  <sheetData>
    <row r="2" spans="1:27" ht="1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0"/>
      <c r="O2" s="60"/>
      <c r="P2" s="60"/>
    </row>
    <row r="3" spans="1:27" ht="12" customHeight="1">
      <c r="Q3" s="63"/>
      <c r="R3" s="63"/>
      <c r="S3" s="63"/>
      <c r="T3" s="63"/>
      <c r="U3" s="64"/>
      <c r="V3" s="63"/>
    </row>
    <row r="6" spans="1:27" ht="1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60"/>
      <c r="O6" s="60"/>
      <c r="P6" s="60"/>
    </row>
    <row r="7" spans="1:27" ht="1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60"/>
      <c r="O7" s="60"/>
      <c r="P7" s="60"/>
    </row>
    <row r="8" spans="1:27" ht="15" customHeight="1">
      <c r="B8" s="65" t="s">
        <v>99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60"/>
      <c r="O8" s="60"/>
      <c r="P8" s="60"/>
    </row>
    <row r="9" spans="1:27" ht="15" customHeight="1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27" ht="24.6" customHeight="1">
      <c r="A10" s="63" t="s">
        <v>100</v>
      </c>
      <c r="B10" s="68">
        <v>36526</v>
      </c>
      <c r="C10" s="69">
        <v>36892</v>
      </c>
      <c r="D10" s="68">
        <v>37257</v>
      </c>
      <c r="E10" s="69">
        <v>37622</v>
      </c>
      <c r="F10" s="68">
        <v>37987</v>
      </c>
      <c r="G10" s="69">
        <v>38353</v>
      </c>
      <c r="H10" s="68">
        <v>38718</v>
      </c>
      <c r="I10" s="69">
        <v>39083</v>
      </c>
      <c r="J10" s="68">
        <v>39448</v>
      </c>
      <c r="K10" s="69">
        <v>39814</v>
      </c>
      <c r="L10" s="68">
        <v>40179</v>
      </c>
      <c r="M10" s="69">
        <v>40544</v>
      </c>
      <c r="N10" s="68">
        <v>40909</v>
      </c>
      <c r="O10" s="69">
        <v>41275</v>
      </c>
      <c r="P10" s="68">
        <v>41640</v>
      </c>
      <c r="Q10" s="69">
        <v>42005</v>
      </c>
      <c r="R10" s="68">
        <v>42370</v>
      </c>
      <c r="S10" s="68">
        <v>42737</v>
      </c>
      <c r="T10" s="68">
        <v>43103</v>
      </c>
      <c r="U10" s="68">
        <v>43468</v>
      </c>
      <c r="V10" s="68">
        <v>43832</v>
      </c>
      <c r="W10" s="129">
        <v>2021</v>
      </c>
      <c r="X10" s="83">
        <v>2022</v>
      </c>
      <c r="Y10" s="83">
        <v>2023</v>
      </c>
      <c r="Z10" s="126" t="s">
        <v>127</v>
      </c>
      <c r="AA10" s="124"/>
    </row>
    <row r="11" spans="1:27" s="76" customFormat="1" ht="15" customHeight="1">
      <c r="A11" s="70" t="s">
        <v>101</v>
      </c>
      <c r="B11" s="71">
        <v>235.54</v>
      </c>
      <c r="C11" s="72">
        <v>216.422</v>
      </c>
      <c r="D11" s="71">
        <v>227.13</v>
      </c>
      <c r="E11" s="71">
        <v>184.06</v>
      </c>
      <c r="F11" s="71">
        <v>221.899</v>
      </c>
      <c r="G11" s="71">
        <v>204.197</v>
      </c>
      <c r="H11" s="71">
        <v>213.56</v>
      </c>
      <c r="I11" s="71">
        <v>215.636</v>
      </c>
      <c r="J11" s="71">
        <v>243.68899999999999</v>
      </c>
      <c r="K11" s="71">
        <v>195.345</v>
      </c>
      <c r="L11" s="71">
        <v>239.19900000000001</v>
      </c>
      <c r="M11" s="71">
        <v>243.29599999999999</v>
      </c>
      <c r="N11" s="71">
        <v>258.57299999999998</v>
      </c>
      <c r="O11" s="71">
        <v>285.07799999999997</v>
      </c>
      <c r="P11" s="73">
        <v>296</v>
      </c>
      <c r="Q11" s="73">
        <v>294</v>
      </c>
      <c r="R11" s="73">
        <v>278</v>
      </c>
      <c r="S11" s="74">
        <v>265</v>
      </c>
      <c r="T11" s="74">
        <v>268</v>
      </c>
      <c r="U11" s="74">
        <v>287</v>
      </c>
      <c r="V11" s="74">
        <v>222</v>
      </c>
      <c r="W11" s="122">
        <v>277.5</v>
      </c>
      <c r="X11" s="169">
        <v>243.4</v>
      </c>
      <c r="Y11" s="170">
        <v>263</v>
      </c>
      <c r="Z11" s="127">
        <f>Y11/X11-1</f>
        <v>8.0525883319638503E-2</v>
      </c>
      <c r="AA11" s="125"/>
    </row>
    <row r="12" spans="1:27" ht="14.1" customHeight="1">
      <c r="A12" s="70" t="s">
        <v>102</v>
      </c>
      <c r="B12" s="77">
        <v>176.941</v>
      </c>
      <c r="C12" s="78">
        <v>172.572</v>
      </c>
      <c r="D12" s="77">
        <v>187.00700000000001</v>
      </c>
      <c r="E12" s="77">
        <v>184.81800000000001</v>
      </c>
      <c r="F12" s="77">
        <v>217.56299999999999</v>
      </c>
      <c r="G12" s="77">
        <v>229.52</v>
      </c>
      <c r="H12" s="77">
        <v>209.15100000000001</v>
      </c>
      <c r="I12" s="77">
        <v>212.74600000000001</v>
      </c>
      <c r="J12" s="77">
        <v>204.92</v>
      </c>
      <c r="K12" s="77">
        <v>179.42500000000001</v>
      </c>
      <c r="L12" s="77">
        <v>203.59700000000001</v>
      </c>
      <c r="M12" s="77">
        <v>172.60400000000001</v>
      </c>
      <c r="N12" s="77">
        <v>181.43700000000001</v>
      </c>
      <c r="O12" s="77">
        <v>144.184</v>
      </c>
      <c r="P12" s="79">
        <v>113.7</v>
      </c>
      <c r="Q12" s="79">
        <v>129</v>
      </c>
      <c r="R12" s="79">
        <v>149</v>
      </c>
      <c r="S12" s="80">
        <v>142</v>
      </c>
      <c r="T12" s="80">
        <v>139</v>
      </c>
      <c r="U12" s="80">
        <v>88</v>
      </c>
      <c r="V12" s="80">
        <v>85</v>
      </c>
      <c r="W12" s="123">
        <v>95.5</v>
      </c>
      <c r="X12" s="171">
        <v>85.4</v>
      </c>
      <c r="Y12" s="172">
        <v>86</v>
      </c>
      <c r="Z12" s="128">
        <f>Y12/X12-1</f>
        <v>7.0257611241217877E-3</v>
      </c>
      <c r="AA12" s="125"/>
    </row>
    <row r="13" spans="1:27" ht="14.1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Q13" s="62"/>
      <c r="R13" s="62"/>
      <c r="S13" s="62"/>
      <c r="T13" s="62"/>
      <c r="U13" s="62"/>
      <c r="V13" s="62"/>
      <c r="W13" s="111"/>
      <c r="X13" s="83"/>
      <c r="Y13" s="83"/>
      <c r="Z13" s="62"/>
    </row>
    <row r="14" spans="1:27" ht="14.1" customHeight="1">
      <c r="A14" s="58" t="s">
        <v>103</v>
      </c>
      <c r="B14" s="83">
        <f>B12+B11</f>
        <v>412.48099999999999</v>
      </c>
      <c r="C14" s="84">
        <f t="shared" ref="C14:R14" si="0">C12+C11</f>
        <v>388.99400000000003</v>
      </c>
      <c r="D14" s="83">
        <f t="shared" si="0"/>
        <v>414.137</v>
      </c>
      <c r="E14" s="84">
        <f t="shared" si="0"/>
        <v>368.87800000000004</v>
      </c>
      <c r="F14" s="83">
        <f t="shared" si="0"/>
        <v>439.46199999999999</v>
      </c>
      <c r="G14" s="84">
        <f t="shared" si="0"/>
        <v>433.71699999999998</v>
      </c>
      <c r="H14" s="83">
        <f t="shared" si="0"/>
        <v>422.71100000000001</v>
      </c>
      <c r="I14" s="84">
        <f t="shared" si="0"/>
        <v>428.38200000000001</v>
      </c>
      <c r="J14" s="83">
        <f t="shared" si="0"/>
        <v>448.60899999999998</v>
      </c>
      <c r="K14" s="84">
        <f t="shared" si="0"/>
        <v>374.77</v>
      </c>
      <c r="L14" s="83">
        <f t="shared" si="0"/>
        <v>442.79600000000005</v>
      </c>
      <c r="M14" s="84">
        <f t="shared" si="0"/>
        <v>415.9</v>
      </c>
      <c r="N14" s="83">
        <f t="shared" si="0"/>
        <v>440.01</v>
      </c>
      <c r="O14" s="84">
        <f t="shared" si="0"/>
        <v>429.26199999999994</v>
      </c>
      <c r="P14" s="83">
        <f t="shared" si="0"/>
        <v>409.7</v>
      </c>
      <c r="Q14" s="84">
        <f t="shared" si="0"/>
        <v>423</v>
      </c>
      <c r="R14" s="83">
        <f t="shared" si="0"/>
        <v>427</v>
      </c>
      <c r="S14" s="83">
        <f>S12+S11</f>
        <v>407</v>
      </c>
      <c r="T14" s="83">
        <f>T12+T11</f>
        <v>407</v>
      </c>
      <c r="U14" s="83">
        <f>U12+U11</f>
        <v>375</v>
      </c>
      <c r="V14" s="83">
        <v>307</v>
      </c>
      <c r="W14" s="130">
        <f>W11+W12</f>
        <v>373</v>
      </c>
      <c r="X14" s="83">
        <f>X11+X12</f>
        <v>328.8</v>
      </c>
      <c r="Y14" s="83">
        <f>Y11+Y12</f>
        <v>349</v>
      </c>
      <c r="Z14" s="131">
        <f>Y14/X14-1</f>
        <v>6.1435523114355295E-2</v>
      </c>
      <c r="AA14" s="75"/>
    </row>
    <row r="15" spans="1:27" ht="12" customHeight="1">
      <c r="A15" s="81"/>
      <c r="B15" s="58"/>
      <c r="C15" s="58"/>
      <c r="D15" s="58"/>
      <c r="E15" s="58"/>
      <c r="F15" s="58"/>
      <c r="G15" s="60"/>
      <c r="H15" s="58"/>
      <c r="I15" s="58"/>
      <c r="J15" s="58"/>
      <c r="K15" s="58"/>
      <c r="L15" s="58"/>
      <c r="M15" s="59"/>
      <c r="N15" s="60"/>
      <c r="O15" s="60"/>
      <c r="P15" s="60"/>
      <c r="Q15" s="85"/>
      <c r="R15" s="85"/>
      <c r="S15" s="85"/>
      <c r="T15" s="85"/>
    </row>
    <row r="16" spans="1:27" ht="15" customHeight="1">
      <c r="A16" s="58" t="s">
        <v>131</v>
      </c>
    </row>
    <row r="17" spans="15:21" ht="12" customHeight="1">
      <c r="O17" s="58"/>
    </row>
    <row r="18" spans="15:21" ht="12" customHeight="1">
      <c r="U18" s="86"/>
    </row>
    <row r="19" spans="15:21" ht="12" customHeight="1">
      <c r="U19" s="86"/>
    </row>
    <row r="39" spans="2:17" ht="12" customHeight="1">
      <c r="B39" s="58" t="s">
        <v>129</v>
      </c>
      <c r="G39" s="81"/>
    </row>
    <row r="42" spans="2:17" ht="12" customHeight="1">
      <c r="G42" s="58"/>
    </row>
    <row r="43" spans="2:17" ht="12" customHeight="1">
      <c r="G43" s="58"/>
      <c r="N43" s="87"/>
      <c r="Q43" s="87" t="s">
        <v>104</v>
      </c>
    </row>
    <row r="44" spans="2:17" ht="12" customHeight="1">
      <c r="G44" s="58"/>
    </row>
    <row r="46" spans="2:17" ht="12" customHeight="1">
      <c r="G46" s="58"/>
    </row>
    <row r="47" spans="2:17" ht="12" customHeight="1">
      <c r="G47" s="58"/>
    </row>
    <row r="48" spans="2:17" ht="12" customHeight="1">
      <c r="B48" s="87" t="s">
        <v>105</v>
      </c>
    </row>
    <row r="49" spans="1:22" ht="12" customHeight="1">
      <c r="I49" s="63"/>
      <c r="J49" s="63"/>
      <c r="M49" s="59"/>
      <c r="N49" s="59"/>
      <c r="O49" s="59"/>
      <c r="P49" s="59"/>
    </row>
    <row r="50" spans="1:22" ht="12" customHeight="1" thickBot="1">
      <c r="B50" s="88"/>
      <c r="C50" s="67"/>
      <c r="D50" s="67"/>
      <c r="E50" s="67"/>
      <c r="F50" s="67"/>
      <c r="G50" s="67"/>
      <c r="H50" s="67"/>
      <c r="M50" s="59"/>
      <c r="N50" s="59"/>
      <c r="O50" s="59"/>
      <c r="P50" s="59"/>
      <c r="U50" s="59"/>
    </row>
    <row r="51" spans="1:22" ht="32.25" customHeight="1">
      <c r="A51" s="89" t="s">
        <v>100</v>
      </c>
      <c r="B51" s="90">
        <v>2010</v>
      </c>
      <c r="C51" s="91">
        <v>2011</v>
      </c>
      <c r="D51" s="91">
        <v>2012</v>
      </c>
      <c r="E51" s="91">
        <v>2013</v>
      </c>
      <c r="F51" s="91">
        <v>2014</v>
      </c>
      <c r="G51" s="91">
        <v>2015</v>
      </c>
      <c r="H51" s="91">
        <v>2016</v>
      </c>
      <c r="I51" s="91">
        <v>2017</v>
      </c>
      <c r="J51" s="91">
        <v>2018</v>
      </c>
      <c r="K51" s="91">
        <v>2019</v>
      </c>
      <c r="L51" s="91">
        <v>2020</v>
      </c>
      <c r="M51" s="91">
        <v>2021</v>
      </c>
      <c r="N51" s="91">
        <v>2022</v>
      </c>
      <c r="O51" s="132">
        <v>2023</v>
      </c>
      <c r="P51" s="163" t="s">
        <v>128</v>
      </c>
      <c r="U51" s="59"/>
    </row>
    <row r="52" spans="1:22" ht="21" customHeight="1">
      <c r="A52" s="92" t="s">
        <v>106</v>
      </c>
      <c r="B52" s="93">
        <f>203597/1000</f>
        <v>203.59700000000001</v>
      </c>
      <c r="C52" s="94">
        <f>172604/1000</f>
        <v>172.60400000000001</v>
      </c>
      <c r="D52" s="94">
        <f>181437/1000</f>
        <v>181.43700000000001</v>
      </c>
      <c r="E52" s="94">
        <f>144184/1000</f>
        <v>144.184</v>
      </c>
      <c r="F52" s="94">
        <f>113700/1000</f>
        <v>113.7</v>
      </c>
      <c r="G52" s="94">
        <f>114050/1000</f>
        <v>114.05</v>
      </c>
      <c r="H52" s="94">
        <v>141</v>
      </c>
      <c r="I52" s="94">
        <v>142</v>
      </c>
      <c r="J52" s="94">
        <v>139</v>
      </c>
      <c r="K52" s="94">
        <v>88</v>
      </c>
      <c r="L52" s="94">
        <v>85</v>
      </c>
      <c r="M52" s="94">
        <v>95.5</v>
      </c>
      <c r="N52" s="94">
        <v>85</v>
      </c>
      <c r="O52" s="133">
        <v>86</v>
      </c>
      <c r="P52" s="164">
        <f>AVERAGE(J52:N52)</f>
        <v>98.5</v>
      </c>
      <c r="U52" s="59"/>
    </row>
    <row r="53" spans="1:22" ht="14.1" customHeight="1">
      <c r="A53" s="89" t="s">
        <v>107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65"/>
      <c r="U53" s="59"/>
    </row>
    <row r="54" spans="1:22" ht="14.1" customHeight="1">
      <c r="A54" s="96" t="s">
        <v>108</v>
      </c>
      <c r="B54" s="97">
        <f>60500/1000</f>
        <v>60.5</v>
      </c>
      <c r="C54" s="72">
        <f>50631/1000</f>
        <v>50.631</v>
      </c>
      <c r="D54" s="72">
        <f>55545/1000</f>
        <v>55.545000000000002</v>
      </c>
      <c r="E54" s="72">
        <f>44496/1000</f>
        <v>44.496000000000002</v>
      </c>
      <c r="F54" s="72">
        <f>33300/1000</f>
        <v>33.299999999999997</v>
      </c>
      <c r="G54" s="72">
        <v>43</v>
      </c>
      <c r="H54" s="72">
        <v>48</v>
      </c>
      <c r="I54" s="72">
        <v>48</v>
      </c>
      <c r="J54" s="72">
        <v>47</v>
      </c>
      <c r="K54" s="72">
        <v>31</v>
      </c>
      <c r="L54" s="72">
        <v>31</v>
      </c>
      <c r="M54" s="72">
        <v>33</v>
      </c>
      <c r="N54" s="72">
        <v>29</v>
      </c>
      <c r="O54" s="134">
        <v>29</v>
      </c>
      <c r="P54" s="166">
        <f t="shared" ref="P54:P58" si="1">AVERAGE(J54:N54)</f>
        <v>34.200000000000003</v>
      </c>
      <c r="U54" s="59"/>
    </row>
    <row r="55" spans="1:22" ht="14.1" customHeight="1">
      <c r="A55" s="96" t="s">
        <v>109</v>
      </c>
      <c r="B55" s="97">
        <f>40695/1000</f>
        <v>40.695</v>
      </c>
      <c r="C55" s="72">
        <f>37280/1000</f>
        <v>37.28</v>
      </c>
      <c r="D55" s="72">
        <f>37210/1000</f>
        <v>37.21</v>
      </c>
      <c r="E55" s="72">
        <f>33300/1000</f>
        <v>33.299999999999997</v>
      </c>
      <c r="F55" s="72">
        <f>29700/1000</f>
        <v>29.7</v>
      </c>
      <c r="G55" s="72">
        <v>32</v>
      </c>
      <c r="H55" s="72">
        <v>34</v>
      </c>
      <c r="I55" s="72">
        <v>31</v>
      </c>
      <c r="J55" s="72">
        <v>30</v>
      </c>
      <c r="K55" s="72">
        <v>22</v>
      </c>
      <c r="L55" s="72">
        <v>22</v>
      </c>
      <c r="M55" s="72">
        <v>22</v>
      </c>
      <c r="N55" s="72">
        <v>20</v>
      </c>
      <c r="O55" s="134">
        <v>20</v>
      </c>
      <c r="P55" s="166">
        <f t="shared" si="1"/>
        <v>23.2</v>
      </c>
      <c r="U55" s="59"/>
    </row>
    <row r="56" spans="1:22" ht="14.1" customHeight="1">
      <c r="A56" s="96" t="s">
        <v>110</v>
      </c>
      <c r="B56" s="97">
        <f>35470/1000</f>
        <v>35.47</v>
      </c>
      <c r="C56" s="72">
        <f>27813/1000</f>
        <v>27.812999999999999</v>
      </c>
      <c r="D56" s="72">
        <f>29944/1000</f>
        <v>29.943999999999999</v>
      </c>
      <c r="E56" s="72">
        <f>19977/1000</f>
        <v>19.977</v>
      </c>
      <c r="F56" s="72">
        <f>10900/1000</f>
        <v>10.9</v>
      </c>
      <c r="G56" s="72">
        <v>15</v>
      </c>
      <c r="H56" s="72">
        <v>18</v>
      </c>
      <c r="I56" s="72">
        <v>17</v>
      </c>
      <c r="J56" s="72">
        <v>18</v>
      </c>
      <c r="K56" s="72">
        <v>8</v>
      </c>
      <c r="L56" s="72">
        <v>9</v>
      </c>
      <c r="M56" s="72">
        <v>11</v>
      </c>
      <c r="N56" s="72">
        <v>11</v>
      </c>
      <c r="O56" s="134">
        <v>12</v>
      </c>
      <c r="P56" s="166">
        <f t="shared" si="1"/>
        <v>11.4</v>
      </c>
      <c r="U56" s="59"/>
    </row>
    <row r="57" spans="1:22" ht="14.1" customHeight="1">
      <c r="A57" s="96" t="s">
        <v>70</v>
      </c>
      <c r="B57" s="97">
        <f>21755/1000</f>
        <v>21.754999999999999</v>
      </c>
      <c r="C57" s="72">
        <f>17885/1000</f>
        <v>17.885000000000002</v>
      </c>
      <c r="D57" s="72">
        <f>17445/1000</f>
        <v>17.445</v>
      </c>
      <c r="E57" s="72">
        <f>15100/1000</f>
        <v>15.1</v>
      </c>
      <c r="F57" s="72">
        <f>15300/1000</f>
        <v>15.3</v>
      </c>
      <c r="G57" s="72">
        <f>13000/1000</f>
        <v>13</v>
      </c>
      <c r="H57" s="72">
        <v>16</v>
      </c>
      <c r="I57" s="72">
        <v>13</v>
      </c>
      <c r="J57" s="72">
        <v>12</v>
      </c>
      <c r="K57" s="72">
        <v>8</v>
      </c>
      <c r="L57" s="72">
        <v>7</v>
      </c>
      <c r="M57" s="72">
        <v>9</v>
      </c>
      <c r="N57" s="72">
        <v>9</v>
      </c>
      <c r="O57" s="134">
        <v>5</v>
      </c>
      <c r="P57" s="166">
        <f t="shared" si="1"/>
        <v>9</v>
      </c>
      <c r="U57" s="59"/>
    </row>
    <row r="58" spans="1:22" ht="14.1" customHeight="1">
      <c r="A58" s="92" t="s">
        <v>111</v>
      </c>
      <c r="B58" s="83">
        <f t="shared" ref="B58:K58" si="2">SUM(B54:B57)</f>
        <v>158.41999999999999</v>
      </c>
      <c r="C58" s="84">
        <f t="shared" si="2"/>
        <v>133.60900000000001</v>
      </c>
      <c r="D58" s="84">
        <f t="shared" si="2"/>
        <v>140.14400000000001</v>
      </c>
      <c r="E58" s="84">
        <f t="shared" si="2"/>
        <v>112.87299999999999</v>
      </c>
      <c r="F58" s="84">
        <f t="shared" si="2"/>
        <v>89.2</v>
      </c>
      <c r="G58" s="84">
        <f t="shared" si="2"/>
        <v>103</v>
      </c>
      <c r="H58" s="84">
        <f t="shared" si="2"/>
        <v>116</v>
      </c>
      <c r="I58" s="84">
        <f t="shared" si="2"/>
        <v>109</v>
      </c>
      <c r="J58" s="84">
        <f>SUM(J54:J57)</f>
        <v>107</v>
      </c>
      <c r="K58" s="98">
        <f t="shared" si="2"/>
        <v>69</v>
      </c>
      <c r="L58" s="84">
        <v>69</v>
      </c>
      <c r="M58" s="84">
        <f>M54+M55+M56+M57</f>
        <v>75</v>
      </c>
      <c r="N58" s="84">
        <v>68</v>
      </c>
      <c r="O58" s="98">
        <f>SUM(O54:O57)</f>
        <v>66</v>
      </c>
      <c r="P58" s="167">
        <f t="shared" si="1"/>
        <v>77.599999999999994</v>
      </c>
      <c r="U58" s="59"/>
    </row>
    <row r="59" spans="1:22" ht="14.1" customHeight="1" thickBot="1">
      <c r="A59" s="92" t="s">
        <v>112</v>
      </c>
      <c r="B59" s="99">
        <f>B58/B52</f>
        <v>0.77810576776671547</v>
      </c>
      <c r="C59" s="100">
        <f t="shared" ref="C59:K59" si="3">C58/C52</f>
        <v>0.77407823688906396</v>
      </c>
      <c r="D59" s="100">
        <f t="shared" si="3"/>
        <v>0.77241136041711445</v>
      </c>
      <c r="E59" s="100">
        <f t="shared" si="3"/>
        <v>0.78283998224490925</v>
      </c>
      <c r="F59" s="100">
        <f t="shared" si="3"/>
        <v>0.78452066842568158</v>
      </c>
      <c r="G59" s="100">
        <f t="shared" si="3"/>
        <v>0.90311266988163086</v>
      </c>
      <c r="H59" s="100">
        <f t="shared" si="3"/>
        <v>0.82269503546099287</v>
      </c>
      <c r="I59" s="100">
        <f t="shared" si="3"/>
        <v>0.76760563380281688</v>
      </c>
      <c r="J59" s="100">
        <f>J58/J52</f>
        <v>0.76978417266187049</v>
      </c>
      <c r="K59" s="101">
        <f t="shared" si="3"/>
        <v>0.78409090909090906</v>
      </c>
      <c r="L59" s="100">
        <v>0.81179999999999997</v>
      </c>
      <c r="M59" s="100">
        <f>M58/M52</f>
        <v>0.78534031413612571</v>
      </c>
      <c r="N59" s="100">
        <f>N58/N52</f>
        <v>0.8</v>
      </c>
      <c r="O59" s="101">
        <f>O58/O52</f>
        <v>0.76744186046511631</v>
      </c>
      <c r="P59" s="168">
        <f>P58/P52</f>
        <v>0.78781725888324872</v>
      </c>
      <c r="U59" s="59"/>
    </row>
    <row r="60" spans="1:22" ht="12" customHeight="1">
      <c r="B60" s="58"/>
      <c r="C60" s="58"/>
      <c r="D60" s="58"/>
      <c r="E60" s="58"/>
      <c r="F60" s="58"/>
      <c r="G60" s="60"/>
      <c r="H60" s="60"/>
      <c r="I60" s="85"/>
      <c r="J60" s="85"/>
      <c r="M60" s="59"/>
      <c r="N60" s="59"/>
      <c r="O60" s="59"/>
      <c r="P60" s="59"/>
      <c r="U60" s="59"/>
    </row>
    <row r="61" spans="1:22" ht="15" customHeight="1">
      <c r="M61" s="59"/>
      <c r="N61" s="59"/>
      <c r="O61" s="59"/>
      <c r="P61" s="59"/>
      <c r="U61" s="59"/>
    </row>
    <row r="62" spans="1:22" ht="12" customHeight="1">
      <c r="A62" s="58" t="s">
        <v>129</v>
      </c>
      <c r="M62" s="59"/>
      <c r="N62" s="58"/>
      <c r="O62" s="59"/>
      <c r="P62" s="59"/>
      <c r="U62" s="59"/>
    </row>
    <row r="63" spans="1:22" ht="12" customHeight="1">
      <c r="M63" s="59"/>
      <c r="Q63" s="58" t="s">
        <v>129</v>
      </c>
      <c r="U63" s="59"/>
      <c r="V63" s="61"/>
    </row>
    <row r="64" spans="1:22" ht="12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59"/>
      <c r="Q64" s="62"/>
      <c r="U64" s="59"/>
      <c r="V64" s="61"/>
    </row>
    <row r="65" spans="2:11" ht="12" customHeight="1">
      <c r="B65" s="104"/>
      <c r="C65" s="104"/>
      <c r="D65" s="104"/>
      <c r="E65" s="104"/>
      <c r="F65" s="104"/>
      <c r="G65" s="104"/>
      <c r="H65" s="104"/>
      <c r="I65" s="104"/>
      <c r="J65" s="104"/>
      <c r="K65" s="103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Méthodologie</vt:lpstr>
      <vt:lpstr>Calendrier_Estim_production</vt:lpstr>
      <vt:lpstr>GC_EstimProduction2023-2024</vt:lpstr>
      <vt:lpstr>Cotations_cereales </vt:lpstr>
      <vt:lpstr>Cotations_oleoproteagineux</vt:lpstr>
      <vt:lpstr>Evol.sole-régionale_Blés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2024-04-15T12:36:12Z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