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3\publi\1er_aout\"/>
    </mc:Choice>
  </mc:AlternateContent>
  <bookViews>
    <workbookView xWindow="0" yWindow="0" windowWidth="20496" windowHeight="7056" tabRatio="568" firstSheet="1" activeTab="2"/>
  </bookViews>
  <sheets>
    <sheet name="Méthodologie" sheetId="1" r:id="rId1"/>
    <sheet name="Calendrier_Estim_production" sheetId="2" r:id="rId2"/>
    <sheet name="GC_EstimProduction2022-2023" sheetId="8" r:id="rId3"/>
    <sheet name="cotations_cereales" sheetId="5" r:id="rId4"/>
    <sheet name="Cotations oleoproteagineux" sheetId="6" r:id="rId5"/>
    <sheet name="Evol.sole-régionale_Blés" sheetId="7" r:id="rId6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>"""NA()"""</definedName>
    <definedName name="Excel_BuiltIn_Print_Area_2">"""NA()"""</definedName>
    <definedName name="Excel_BuiltIn_Print_Area_3">"""NA()"""</definedName>
    <definedName name="Excel_BuiltIn_Print_Area_4">"""NA()"""</definedName>
    <definedName name="Excel_BuiltIn_Print_Area_5">"""NA()"""</definedName>
    <definedName name="SHARED_FORMULA_1_146_1_146_0">"""NA()"""</definedName>
    <definedName name="SHARED_FORMULA_1_147_1_147_0">"""NA()"""</definedName>
    <definedName name="SHARED_FORMULA_1_148_1_148_0">"""NA()"""</definedName>
    <definedName name="SHARED_FORMULA_1_149_1_149_0">"""NA()"""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>"""SUM([.C9:.C10])"""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>"""NA()"""</definedName>
    <definedName name="Z_3BCF3A1C_15FB_4953_A7D3_0EA7293DDD77__wvu_Cols_1">"""NA()"""</definedName>
    <definedName name="Z_3BCF3A1C_15FB_4953_A7D3_0EA7293DDD77__wvu_PrintArea">"""NA()"""</definedName>
    <definedName name="Z_3BCF3A1C_15FB_4953_A7D3_0EA7293DDD77__wvu_PrintArea_1">"""NA()"""</definedName>
    <definedName name="Z_3BCF3A1C_15FB_4953_A7D3_0EA7293DDD77__wvu_PrintArea_2">"""NA()"""</definedName>
    <definedName name="Z_3BCF3A1C_15FB_4953_A7D3_0EA7293DDD77__wvu_PrintArea_3">"""NA()"""</definedName>
    <definedName name="Z_3BCF3A1C_15FB_4953_A7D3_0EA7293DDD77__wvu_PrintTitles">"""NA()"""</definedName>
    <definedName name="Z_3BCF3A1C_15FB_4953_A7D3_0EA7293DDD77__wvu_PrintTitles_1">"""NA()"""</definedName>
    <definedName name="Z_3BCF3A1C_15FB_4953_A7D3_0EA7293DDD77__wvu_PrintTitles_2">"""NA()"""</definedName>
    <definedName name="Z_3BCF3A1C_15FB_4953_A7D3_0EA7293DDD77__wvu_PrintTitles_3">"""NA()"""</definedName>
    <definedName name="_xlnm.Print_Area" localSheetId="2">'GC_EstimProduction2022-2023'!$A$36:$P$36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</workbook>
</file>

<file path=xl/calcChain.xml><?xml version="1.0" encoding="utf-8"?>
<calcChain xmlns="http://schemas.openxmlformats.org/spreadsheetml/2006/main">
  <c r="P15" i="8" l="1"/>
  <c r="P30" i="8" l="1"/>
  <c r="P17" i="8"/>
  <c r="P23" i="8"/>
  <c r="P47" i="8"/>
  <c r="P45" i="8"/>
  <c r="P43" i="8"/>
  <c r="P41" i="8"/>
  <c r="P39" i="8"/>
  <c r="P37" i="8"/>
  <c r="P35" i="8"/>
  <c r="P33" i="8"/>
  <c r="P31" i="8"/>
  <c r="P29" i="8"/>
  <c r="P27" i="8"/>
  <c r="P25" i="8"/>
  <c r="P21" i="8"/>
  <c r="P19" i="8"/>
  <c r="T40" i="8" l="1"/>
  <c r="O59" i="7" l="1"/>
  <c r="O52" i="7"/>
  <c r="O58" i="7"/>
  <c r="O57" i="7"/>
  <c r="O56" i="7"/>
  <c r="O55" i="7"/>
  <c r="O54" i="7"/>
  <c r="N59" i="7"/>
  <c r="X14" i="7"/>
  <c r="Y11" i="7"/>
  <c r="Y12" i="7"/>
  <c r="T46" i="8" l="1"/>
  <c r="T38" i="8"/>
  <c r="T34" i="8"/>
  <c r="T32" i="8"/>
  <c r="T28" i="8"/>
  <c r="T44" i="8" l="1"/>
  <c r="T42" i="8"/>
  <c r="T36" i="8"/>
  <c r="T26" i="8"/>
  <c r="T24" i="8"/>
  <c r="T22" i="8"/>
  <c r="T20" i="8"/>
  <c r="T18" i="8"/>
  <c r="T16" i="8"/>
  <c r="T14" i="8"/>
  <c r="M58" i="7" l="1"/>
  <c r="M59" i="7" s="1"/>
  <c r="K58" i="7"/>
  <c r="K59" i="7" s="1"/>
  <c r="J58" i="7"/>
  <c r="J59" i="7" s="1"/>
  <c r="I58" i="7"/>
  <c r="I59" i="7" s="1"/>
  <c r="H58" i="7"/>
  <c r="H59" i="7" s="1"/>
  <c r="G58" i="7"/>
  <c r="G57" i="7"/>
  <c r="F57" i="7"/>
  <c r="E57" i="7"/>
  <c r="D57" i="7"/>
  <c r="C57" i="7"/>
  <c r="B57" i="7"/>
  <c r="F56" i="7"/>
  <c r="E56" i="7"/>
  <c r="D56" i="7"/>
  <c r="C56" i="7"/>
  <c r="B56" i="7"/>
  <c r="F55" i="7"/>
  <c r="E55" i="7"/>
  <c r="E58" i="7" s="1"/>
  <c r="E59" i="7" s="1"/>
  <c r="D55" i="7"/>
  <c r="C55" i="7"/>
  <c r="B55" i="7"/>
  <c r="F54" i="7"/>
  <c r="E54" i="7"/>
  <c r="D54" i="7"/>
  <c r="D58" i="7" s="1"/>
  <c r="D59" i="7" s="1"/>
  <c r="C54" i="7"/>
  <c r="C58" i="7" s="1"/>
  <c r="C59" i="7" s="1"/>
  <c r="B54" i="7"/>
  <c r="G52" i="7"/>
  <c r="F52" i="7"/>
  <c r="E52" i="7"/>
  <c r="D52" i="7"/>
  <c r="C52" i="7"/>
  <c r="B52" i="7"/>
  <c r="W14" i="7"/>
  <c r="Y14" i="7" s="1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E32" i="6"/>
  <c r="E31" i="6"/>
  <c r="E30" i="6"/>
  <c r="E29" i="6"/>
  <c r="E28" i="6"/>
  <c r="E27" i="6"/>
  <c r="E26" i="6"/>
  <c r="E25" i="6"/>
  <c r="E24" i="6"/>
  <c r="E23" i="6"/>
  <c r="E22" i="6"/>
  <c r="E15" i="6"/>
  <c r="E14" i="6"/>
  <c r="E13" i="6"/>
  <c r="E12" i="6"/>
  <c r="E11" i="6"/>
  <c r="E10" i="6"/>
  <c r="E9" i="6"/>
  <c r="E8" i="6"/>
  <c r="E7" i="6"/>
  <c r="E6" i="6"/>
  <c r="E5" i="6"/>
  <c r="E4" i="6"/>
  <c r="E62" i="5"/>
  <c r="E61" i="5"/>
  <c r="E60" i="5"/>
  <c r="E59" i="5"/>
  <c r="E58" i="5"/>
  <c r="E57" i="5"/>
  <c r="E56" i="5"/>
  <c r="E55" i="5"/>
  <c r="E54" i="5"/>
  <c r="E53" i="5"/>
  <c r="E52" i="5"/>
  <c r="E51" i="5"/>
  <c r="E43" i="5"/>
  <c r="E42" i="5"/>
  <c r="E40" i="5"/>
  <c r="E37" i="5"/>
  <c r="E36" i="5"/>
  <c r="E35" i="5"/>
  <c r="E34" i="5"/>
  <c r="E32" i="5"/>
  <c r="E24" i="5"/>
  <c r="E23" i="5"/>
  <c r="E22" i="5"/>
  <c r="E21" i="5"/>
  <c r="E20" i="5"/>
  <c r="E19" i="5"/>
  <c r="E18" i="5"/>
  <c r="E17" i="5"/>
  <c r="E16" i="5"/>
  <c r="E15" i="5"/>
  <c r="E14" i="5"/>
  <c r="E13" i="5"/>
  <c r="G59" i="7" l="1"/>
  <c r="B58" i="7"/>
  <c r="B59" i="7" s="1"/>
  <c r="F58" i="7"/>
  <c r="F59" i="7" s="1"/>
</calcChain>
</file>

<file path=xl/sharedStrings.xml><?xml version="1.0" encoding="utf-8"?>
<sst xmlns="http://schemas.openxmlformats.org/spreadsheetml/2006/main" count="266" uniqueCount="158">
  <si>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</si>
  <si>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</si>
  <si>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</si>
  <si>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</si>
  <si>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l’enquête annuelle « Teruti-Lucas » examinant 3 998 segments dans la région, soit 26 659 points en 2016,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</si>
  <si>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</si>
  <si>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</si>
  <si>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</si>
  <si>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</si>
  <si>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Le 1er décembre correspond au démarrage de la nouvelle campagne agricole « grandes cultures » 2019-2020 qui se déroulera jusqu’au</t>
  </si>
  <si>
    <t>30 novembre 2020. Les premières estimations ne concernent que les céréales d’hiver (blé, seigle, orge, avoine, triticale) et le colza. Ces estimations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</si>
  <si>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</si>
  <si>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</si>
  <si>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</si>
  <si>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</si>
  <si>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</si>
  <si>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r>
      <rPr>
        <b/>
        <sz val="10"/>
        <color rgb="FF008080"/>
        <rFont val="Calibri"/>
        <family val="2"/>
      </rPr>
      <t xml:space="preserve">Déclarations mensuelles obligatoires, </t>
    </r>
    <r>
      <rPr>
        <sz val="10"/>
        <color rgb="FF000000"/>
        <rFont val="Calibri"/>
        <family val="2"/>
      </rPr>
      <t>réalisées par les collecteurs et les producteurs grainiers sur les Etats 2.</t>
    </r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</si>
  <si>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</si>
  <si>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</si>
  <si>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</si>
  <si>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r>
      <rPr>
        <b/>
        <sz val="10"/>
        <color rgb="FF333333"/>
        <rFont val="Calibri"/>
        <family val="2"/>
      </rPr>
      <t>Les stocks en dépôts sont représentés</t>
    </r>
    <r>
      <rPr>
        <sz val="10"/>
        <color rgb="FF333333"/>
        <rFont val="Calibri"/>
        <family val="2"/>
      </rPr>
      <t xml:space="preserve"> par des quantités de graines de céréales ou oléprotéagineux qui sont présentes dans les silos du collecteur</t>
    </r>
  </si>
  <si>
    <t>déclaré et appartenant toujours aux livreurs. Ces stocks sont détaillés par département du silo de stockage.</t>
  </si>
  <si>
    <r>
      <rPr>
        <sz val="10"/>
        <color rgb="FF333333"/>
        <rFont val="Calibri"/>
        <family val="2"/>
      </rPr>
      <t>Le</t>
    </r>
    <r>
      <rPr>
        <b/>
        <sz val="10"/>
        <color rgb="FF333333"/>
        <rFont val="Calibri"/>
        <family val="2"/>
      </rPr>
      <t>s stocks « collecteurs » correspondent à des quantités de grains (consommation et semences) appartenant au collecteur déclaré</t>
    </r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</si>
  <si>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</si>
  <si>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</si>
  <si>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</si>
  <si>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</si>
  <si>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</si>
  <si>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</si>
  <si>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</si>
  <si>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</si>
  <si>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</si>
  <si>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</si>
  <si>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</si>
  <si>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</si>
  <si>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</si>
  <si>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</si>
  <si>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</si>
  <si>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</si>
  <si>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</si>
  <si>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</si>
  <si>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</si>
  <si>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</si>
  <si>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</si>
  <si>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</si>
  <si>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</si>
  <si>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</si>
  <si>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</si>
  <si>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</si>
  <si>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</si>
  <si>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</si>
  <si>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</si>
  <si>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</si>
  <si>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</si>
  <si>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</si>
  <si>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</si>
  <si>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</si>
  <si>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</si>
  <si>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</si>
  <si>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</si>
  <si>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</si>
  <si>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</si>
  <si>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</si>
  <si>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</si>
  <si>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</si>
  <si>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</si>
  <si>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</si>
  <si>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Campagne de production 2023 (données provisoires)</t>
  </si>
  <si>
    <t>Données provisoires 2022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</si>
  <si>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</si>
  <si>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</si>
  <si>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</si>
  <si>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</si>
  <si>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</si>
  <si>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</si>
  <si>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</si>
  <si>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</si>
  <si>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</si>
  <si>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</si>
  <si>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</si>
  <si>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</si>
  <si>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</si>
  <si>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t>Bassin Midi-pyrénées</t>
  </si>
  <si>
    <t>Bassin Languedoc-Roussillon</t>
  </si>
  <si>
    <t>surface</t>
  </si>
  <si>
    <t>(1) : Surfaces issues des estimations précoces de production</t>
  </si>
  <si>
    <t>Evolution des cotations des céréales, marché France métropolitaine, base juillet</t>
  </si>
  <si>
    <t>Evolution des cotations de blé tendre, rendu Rouen (base juillet)</t>
  </si>
  <si>
    <t>2021-2022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</si>
  <si>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</si>
  <si>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</si>
  <si>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</si>
  <si>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</si>
  <si>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</si>
  <si>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</si>
  <si>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</si>
  <si>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</si>
  <si>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</si>
  <si>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</si>
  <si>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</si>
  <si>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</si>
  <si>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</si>
  <si>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Evolution des cotations de blé dur, Port-la-Nouvelle (base juillet)</t>
  </si>
  <si>
    <t>Euro/
Tonne</t>
  </si>
  <si>
    <t>Moyenne 2017-2021</t>
  </si>
  <si>
    <t>2022-2023</t>
  </si>
  <si>
    <t>Evol. 2021/2022</t>
  </si>
  <si>
    <t>Evolution des cotations de maïs, FOB Atlantique (base juillet)</t>
  </si>
  <si>
    <t>Euro/
Tonnes</t>
  </si>
  <si>
    <t>Evolution des cotations de Colza, rendu Rouen</t>
  </si>
  <si>
    <t>Evol. 2020/2021</t>
  </si>
  <si>
    <t>Evolution des cotations de Tournesol, rendu Bordeaux</t>
  </si>
  <si>
    <t>Moyenne 2016-2020</t>
  </si>
  <si>
    <t>2020-2021</t>
  </si>
  <si>
    <t>Evolution des surfaces de blé Occitanie  depuis 2000 (1000 ha)</t>
  </si>
  <si>
    <t>Année</t>
  </si>
  <si>
    <t>Blé tendre</t>
  </si>
  <si>
    <t>Blé dur</t>
  </si>
  <si>
    <t>Total sole blé</t>
  </si>
  <si>
    <t>Evolution des surfaces de blé dur Occitanie</t>
  </si>
  <si>
    <t>Evolution des surfaces de blé dur Occitanie (1000 ha)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</si>
  <si>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</si>
  <si>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</si>
  <si>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</si>
  <si>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</si>
  <si>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</si>
  <si>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</si>
  <si>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</si>
  <si>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r>
      <rPr>
        <b/>
        <sz val="9"/>
        <rFont val="Arial"/>
        <family val="2"/>
      </rPr>
      <t xml:space="preserve">Cultures </t>
    </r>
    <r>
      <rPr>
        <sz val="9"/>
        <rFont val="Arial"/>
        <family val="2"/>
      </rPr>
      <t>(1)</t>
    </r>
  </si>
  <si>
    <t xml:space="preserve">OCCITANIE </t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</si>
  <si>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lé tendre </t>
    </r>
  </si>
  <si>
    <r>
      <rPr>
        <b/>
        <sz val="9"/>
        <rFont val="Arial"/>
        <family val="2"/>
      </rPr>
      <t xml:space="preserve"> B</t>
    </r>
    <r>
      <rPr>
        <sz val="9"/>
        <rFont val="Arial"/>
        <family val="2"/>
      </rPr>
      <t xml:space="preserve">lé dur 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</si>
  <si>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eigle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</si>
  <si>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d'hiver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</si>
  <si>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sz val="9"/>
        <rFont val="Arial"/>
        <family val="2"/>
      </rPr>
      <t>rge et 
escourgeon de printemps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</si>
  <si>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voine 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</si>
  <si>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riticale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</si>
  <si>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irrigué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</si>
  <si>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grain en sec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</si>
  <si>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semence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</si>
  <si>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>orgho grain</t>
    </r>
  </si>
  <si>
    <r>
      <rPr>
        <b/>
        <sz val="9"/>
        <rFont val="Arial"/>
        <family val="2"/>
      </rPr>
      <t xml:space="preserve"> C</t>
    </r>
    <r>
      <rPr>
        <sz val="9"/>
        <rFont val="Arial"/>
        <family val="2"/>
      </rPr>
      <t>olza (et navette)</t>
    </r>
  </si>
  <si>
    <r>
      <rPr>
        <b/>
        <sz val="9"/>
        <rFont val="Arial"/>
        <family val="2"/>
      </rPr>
      <t xml:space="preserve"> T</t>
    </r>
    <r>
      <rPr>
        <sz val="9"/>
        <rFont val="Arial"/>
        <family val="2"/>
      </rPr>
      <t>ournesol</t>
    </r>
  </si>
  <si>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>oja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</si>
  <si>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>éveroles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</si>
  <si>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</t>
    </r>
    <r>
      <rPr>
        <sz val="9"/>
        <rFont val="Arial"/>
        <family val="2"/>
      </rPr>
      <t>ois  protéagineux</t>
    </r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</si>
  <si>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aïs fourrage et ensilage</t>
    </r>
  </si>
  <si>
    <t>(2) : Evolutions des surfaces en %  calculées par comparaison aux données de la SAA 2015 définitive</t>
  </si>
  <si>
    <t>Unités : ha</t>
  </si>
  <si>
    <r>
      <rPr>
        <b/>
        <sz val="9"/>
        <rFont val="Arial"/>
        <family val="2"/>
      </rPr>
      <t xml:space="preserve">Evolution par rapport à la campagne précédente </t>
    </r>
    <r>
      <rPr>
        <sz val="9"/>
        <rFont val="Arial"/>
        <family val="2"/>
      </rPr>
      <t>(2)</t>
    </r>
  </si>
  <si>
    <t>Evolution  2021/2022</t>
  </si>
  <si>
    <t>Moyenne2017/2021</t>
  </si>
  <si>
    <t>Source - Agreste - Statistique agricole annuelle _ Estimations SRISET 2022</t>
  </si>
  <si>
    <t>Source - Agreste - Statistique agricole annuelle_ Estimations SRISET 2022</t>
  </si>
  <si>
    <t>rendement</t>
  </si>
  <si>
    <t>Unités : ha, qx/ha, %</t>
  </si>
  <si>
    <t>(2) : Évolutions des surfaces en % et des rendements en qx/ha calculées par comparaison aux estimations surfaces 2022 provisoires</t>
  </si>
  <si>
    <r>
      <t xml:space="preserve">Grandes cultures : </t>
    </r>
    <r>
      <rPr>
        <b/>
        <sz val="10"/>
        <color rgb="FF000000"/>
        <rFont val="Arial"/>
        <family val="2"/>
      </rPr>
      <t>estimations des surfaces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août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</si>
</sst>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0&quot;  &quot;"/>
    <numFmt numFmtId="165" formatCode="0.0%"/>
    <numFmt numFmtId="166" formatCode="0.0"/>
    <numFmt numFmtId="167" formatCode="#.0"/>
    <numFmt numFmtId="168" formatCode="yyyy"/>
    <numFmt numFmtId="169" formatCode="#,##0\ "/>
    <numFmt numFmtId="170" formatCode="* #,##0\ ;* \(#,##0\);* &quot;- &quot;;@\ "/>
    <numFmt numFmtId="171" formatCode="#,##0.00\ [$€-40C];[Red]\-#,##0.00\ [$€-40C]"/>
    <numFmt numFmtId="172" formatCode="_-* #,##0\ _€_-;\-* #,##0\ _€_-;_-* &quot;-&quot;??\ _€_-;_-@_-"/>
  </numFmts>
  <fonts count="76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9"/>
      <color rgb="FF008080"/>
      <name val="Marianne"/>
      <family val="3"/>
    </font>
    <font>
      <b/>
      <sz val="11"/>
      <color rgb="FF000000"/>
      <name val="Marianne"/>
      <family val="3"/>
    </font>
    <font>
      <b/>
      <sz val="10"/>
      <color rgb="FF008080"/>
      <name val="Calibri"/>
      <family val="2"/>
    </font>
    <font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1"/>
      <color rgb="FF333333"/>
      <name val="Marianne"/>
      <family val="3"/>
    </font>
    <font>
      <u/>
      <sz val="11"/>
      <color rgb="FF0066CC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FF0000"/>
      <name val="Arial1"/>
    </font>
    <font>
      <b/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7.5"/>
      <color theme="1"/>
      <name val="Marianne"/>
      <family val="3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/>
      <right style="hair">
        <color auto="1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1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>
      <protection locked="0"/>
    </xf>
    <xf numFmtId="9" fontId="35" fillId="0" borderId="0" applyFill="0" applyBorder="0" applyAlignment="0" applyProtection="0"/>
    <xf numFmtId="0" fontId="35" fillId="0" borderId="0"/>
    <xf numFmtId="0" fontId="1" fillId="0" borderId="0" applyBorder="0">
      <protection locked="0"/>
    </xf>
    <xf numFmtId="9" fontId="59" fillId="0" borderId="0" applyFont="0" applyFill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4" borderId="0" applyNumberFormat="0" applyBorder="0" applyAlignment="0" applyProtection="0"/>
    <xf numFmtId="0" fontId="62" fillId="16" borderId="45" applyNumberFormat="0" applyAlignment="0" applyProtection="0"/>
    <xf numFmtId="170" fontId="35" fillId="0" borderId="0" applyFill="0" applyBorder="0" applyAlignment="0" applyProtection="0"/>
    <xf numFmtId="0" fontId="35" fillId="17" borderId="46" applyNumberFormat="0" applyAlignment="0" applyProtection="0"/>
    <xf numFmtId="170" fontId="35" fillId="0" borderId="0" applyFill="0" applyBorder="0" applyAlignment="0" applyProtection="0"/>
    <xf numFmtId="0" fontId="35" fillId="0" borderId="0" applyNumberFormat="0" applyFill="0" applyBorder="0" applyProtection="0">
      <alignment horizontal="center"/>
    </xf>
    <xf numFmtId="0" fontId="63" fillId="11" borderId="45" applyNumberFormat="0" applyAlignment="0" applyProtection="0"/>
    <xf numFmtId="0" fontId="69" fillId="0" borderId="0" applyNumberFormat="0" applyFill="0" applyBorder="0" applyAlignment="0" applyProtection="0"/>
    <xf numFmtId="43" fontId="35" fillId="0" borderId="0" applyFill="0" applyBorder="0" applyAlignment="0" applyProtection="0"/>
    <xf numFmtId="43" fontId="35" fillId="0" borderId="0" applyFont="0" applyFill="0" applyBorder="0" applyAlignment="0" applyProtection="0"/>
    <xf numFmtId="0" fontId="64" fillId="0" borderId="0"/>
    <xf numFmtId="9" fontId="3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1" fontId="65" fillId="0" borderId="0" applyFill="0" applyBorder="0" applyAlignment="0" applyProtection="0"/>
    <xf numFmtId="0" fontId="66" fillId="16" borderId="47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Protection="0">
      <alignment horizontal="center" textRotation="90"/>
    </xf>
    <xf numFmtId="43" fontId="75" fillId="0" borderId="0" applyFont="0" applyFill="0" applyBorder="0" applyAlignment="0" applyProtection="0"/>
  </cellStyleXfs>
  <cellXfs count="248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0" fillId="2" borderId="0" xfId="0" applyFont="1" applyFill="1">
      <protection locked="0"/>
    </xf>
    <xf numFmtId="0" fontId="14" fillId="2" borderId="0" xfId="0" applyFont="1" applyFill="1">
      <protection locked="0"/>
    </xf>
    <xf numFmtId="0" fontId="14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15" fillId="2" borderId="0" xfId="3" applyNumberFormat="1" applyFont="1" applyFill="1" applyBorder="1" applyAlignment="1" applyProtection="1">
      <protection locked="0"/>
    </xf>
    <xf numFmtId="11" fontId="15" fillId="2" borderId="0" xfId="3" applyNumberFormat="1" applyFont="1" applyFill="1" applyBorder="1" applyAlignment="1" applyProtection="1">
      <protection locked="0"/>
    </xf>
    <xf numFmtId="0" fontId="9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6" fillId="0" borderId="0" xfId="0" applyNumberFormat="1" applyFont="1" applyAlignment="1">
      <alignment horizontal="left" vertical="center"/>
      <protection locked="0"/>
    </xf>
    <xf numFmtId="0" fontId="18" fillId="0" borderId="0" xfId="0" applyFont="1" applyAlignment="1">
      <protection locked="0"/>
    </xf>
    <xf numFmtId="0" fontId="19" fillId="0" borderId="0" xfId="0" applyFont="1" applyAlignment="1">
      <protection locked="0"/>
    </xf>
    <xf numFmtId="0" fontId="0" fillId="0" borderId="0" xfId="0">
      <protection locked="0"/>
    </xf>
    <xf numFmtId="0" fontId="17" fillId="0" borderId="0" xfId="0" applyFont="1" applyAlignment="1">
      <protection locked="0"/>
    </xf>
    <xf numFmtId="0" fontId="22" fillId="0" borderId="0" xfId="0" applyFont="1" applyAlignment="1">
      <protection locked="0"/>
    </xf>
    <xf numFmtId="0" fontId="19" fillId="0" borderId="0" xfId="0" applyFont="1" applyAlignment="1">
      <alignment vertical="center"/>
      <protection locked="0"/>
    </xf>
    <xf numFmtId="0" fontId="23" fillId="0" borderId="9" xfId="0" applyFont="1" applyBorder="1" applyAlignment="1">
      <alignment horizontal="center" vertical="center" wrapText="1"/>
      <protection locked="0"/>
    </xf>
    <xf numFmtId="0" fontId="24" fillId="0" borderId="5" xfId="0" applyFont="1" applyBorder="1" applyAlignment="1">
      <alignment horizontal="left" vertical="center" wrapText="1"/>
      <protection locked="0"/>
    </xf>
    <xf numFmtId="0" fontId="25" fillId="0" borderId="4" xfId="0" applyFont="1" applyBorder="1" applyAlignment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  <protection locked="0"/>
    </xf>
    <xf numFmtId="0" fontId="26" fillId="0" borderId="4" xfId="0" applyFont="1" applyBorder="1" applyAlignment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 shrinkToFit="1"/>
      <protection locked="0"/>
    </xf>
    <xf numFmtId="0" fontId="0" fillId="0" borderId="2" xfId="0" applyFont="1" applyBorder="1" applyAlignment="1">
      <alignment horizontal="center" vertical="center" wrapText="1" shrinkToFit="1"/>
      <protection locked="0"/>
    </xf>
    <xf numFmtId="0" fontId="29" fillId="2" borderId="5" xfId="0" applyFont="1" applyFill="1" applyBorder="1" applyAlignment="1">
      <alignment vertical="center"/>
      <protection locked="0"/>
    </xf>
    <xf numFmtId="0" fontId="29" fillId="3" borderId="8" xfId="0" applyFont="1" applyFill="1" applyBorder="1" applyAlignment="1">
      <alignment vertical="center"/>
      <protection locked="0"/>
    </xf>
    <xf numFmtId="164" fontId="30" fillId="3" borderId="7" xfId="0" applyNumberFormat="1" applyFont="1" applyFill="1" applyBorder="1" applyAlignment="1">
      <alignment horizontal="right" vertical="center"/>
      <protection locked="0"/>
    </xf>
    <xf numFmtId="164" fontId="30" fillId="3" borderId="1" xfId="0" applyNumberFormat="1" applyFont="1" applyFill="1" applyBorder="1" applyAlignment="1">
      <alignment horizontal="right" vertical="center"/>
      <protection locked="0"/>
    </xf>
    <xf numFmtId="164" fontId="31" fillId="3" borderId="7" xfId="0" applyNumberFormat="1" applyFont="1" applyFill="1" applyBorder="1" applyAlignment="1">
      <alignment horizontal="right" vertical="center"/>
      <protection locked="0"/>
    </xf>
    <xf numFmtId="164" fontId="31" fillId="3" borderId="1" xfId="0" applyNumberFormat="1" applyFont="1" applyFill="1" applyBorder="1" applyAlignment="1">
      <alignment horizontal="right" vertical="center"/>
      <protection locked="0"/>
    </xf>
    <xf numFmtId="164" fontId="33" fillId="3" borderId="8" xfId="0" applyNumberFormat="1" applyFont="1" applyFill="1" applyBorder="1" applyAlignment="1">
      <alignment horizontal="right" vertical="center"/>
      <protection locked="0"/>
    </xf>
    <xf numFmtId="164" fontId="30" fillId="3" borderId="13" xfId="0" applyNumberFormat="1" applyFont="1" applyFill="1" applyBorder="1" applyAlignment="1">
      <alignment horizontal="right" vertical="center"/>
      <protection locked="0"/>
    </xf>
    <xf numFmtId="0" fontId="0" fillId="4" borderId="2" xfId="0" applyFill="1" applyBorder="1">
      <protection locked="0"/>
    </xf>
    <xf numFmtId="165" fontId="34" fillId="0" borderId="5" xfId="0" applyNumberFormat="1" applyFont="1" applyBorder="1" applyAlignment="1">
      <alignment horizontal="right" vertical="center"/>
      <protection locked="0"/>
    </xf>
    <xf numFmtId="0" fontId="36" fillId="0" borderId="0" xfId="2" applyFont="1" applyFill="1" applyAlignment="1">
      <alignment vertical="center"/>
    </xf>
    <xf numFmtId="0" fontId="36" fillId="0" borderId="0" xfId="2" applyFont="1" applyFill="1"/>
    <xf numFmtId="0" fontId="37" fillId="0" borderId="0" xfId="2" applyFont="1" applyFill="1"/>
    <xf numFmtId="0" fontId="40" fillId="0" borderId="0" xfId="2" applyFont="1" applyFill="1"/>
    <xf numFmtId="0" fontId="37" fillId="0" borderId="0" xfId="2" applyFont="1" applyFill="1" applyBorder="1"/>
    <xf numFmtId="0" fontId="35" fillId="0" borderId="0" xfId="2" applyFill="1"/>
    <xf numFmtId="0" fontId="41" fillId="0" borderId="0" xfId="2" applyFont="1" applyFill="1" applyAlignment="1"/>
    <xf numFmtId="0" fontId="42" fillId="0" borderId="0" xfId="2" applyFont="1" applyFill="1"/>
    <xf numFmtId="0" fontId="35" fillId="0" borderId="0" xfId="2" applyFill="1" applyAlignment="1">
      <alignment horizontal="center"/>
    </xf>
    <xf numFmtId="0" fontId="44" fillId="0" borderId="0" xfId="2" applyFont="1" applyFill="1"/>
    <xf numFmtId="0" fontId="44" fillId="0" borderId="0" xfId="2" applyFont="1" applyFill="1" applyBorder="1"/>
    <xf numFmtId="0" fontId="38" fillId="0" borderId="0" xfId="2" applyFont="1" applyFill="1"/>
    <xf numFmtId="166" fontId="38" fillId="0" borderId="0" xfId="2" applyNumberFormat="1" applyFont="1" applyFill="1"/>
    <xf numFmtId="167" fontId="38" fillId="0" borderId="0" xfId="2" applyNumberFormat="1" applyFont="1" applyFill="1"/>
    <xf numFmtId="0" fontId="48" fillId="0" borderId="0" xfId="2" applyFont="1" applyFill="1" applyAlignment="1">
      <alignment horizontal="left" vertical="center"/>
    </xf>
    <xf numFmtId="0" fontId="49" fillId="0" borderId="0" xfId="2" applyFont="1" applyFill="1" applyAlignment="1"/>
    <xf numFmtId="2" fontId="49" fillId="0" borderId="0" xfId="2" applyNumberFormat="1" applyFont="1" applyFill="1" applyBorder="1" applyAlignment="1">
      <alignment horizontal="left" vertical="center"/>
    </xf>
    <xf numFmtId="2" fontId="48" fillId="0" borderId="0" xfId="2" applyNumberFormat="1" applyFont="1" applyFill="1" applyAlignment="1">
      <alignment horizontal="left" vertical="center"/>
    </xf>
    <xf numFmtId="2" fontId="49" fillId="0" borderId="0" xfId="2" applyNumberFormat="1" applyFont="1" applyFill="1" applyAlignment="1"/>
    <xf numFmtId="0" fontId="49" fillId="0" borderId="0" xfId="2" applyFont="1" applyFill="1"/>
    <xf numFmtId="0" fontId="44" fillId="0" borderId="20" xfId="2" applyFont="1" applyFill="1" applyBorder="1"/>
    <xf numFmtId="2" fontId="46" fillId="0" borderId="20" xfId="2" applyNumberFormat="1" applyFont="1" applyFill="1" applyBorder="1" applyAlignment="1">
      <alignment horizontal="center" vertical="center" wrapText="1"/>
    </xf>
    <xf numFmtId="9" fontId="46" fillId="0" borderId="20" xfId="1" applyFont="1" applyFill="1" applyBorder="1" applyAlignment="1">
      <alignment horizontal="right" vertical="center" wrapText="1"/>
    </xf>
    <xf numFmtId="0" fontId="44" fillId="0" borderId="21" xfId="2" applyFont="1" applyFill="1" applyBorder="1"/>
    <xf numFmtId="2" fontId="46" fillId="0" borderId="21" xfId="2" applyNumberFormat="1" applyFont="1" applyFill="1" applyBorder="1" applyAlignment="1">
      <alignment horizontal="center" vertical="center" wrapText="1"/>
    </xf>
    <xf numFmtId="9" fontId="46" fillId="0" borderId="21" xfId="1" applyFont="1" applyFill="1" applyBorder="1" applyAlignment="1">
      <alignment horizontal="right" vertical="center" wrapText="1"/>
    </xf>
    <xf numFmtId="0" fontId="44" fillId="0" borderId="22" xfId="2" applyFont="1" applyFill="1" applyBorder="1"/>
    <xf numFmtId="2" fontId="46" fillId="0" borderId="22" xfId="2" applyNumberFormat="1" applyFont="1" applyFill="1" applyBorder="1" applyAlignment="1">
      <alignment horizontal="center" vertical="center" wrapText="1"/>
    </xf>
    <xf numFmtId="9" fontId="46" fillId="0" borderId="22" xfId="1" applyFont="1" applyFill="1" applyBorder="1" applyAlignment="1">
      <alignment horizontal="right" vertical="center" wrapText="1"/>
    </xf>
    <xf numFmtId="2" fontId="51" fillId="7" borderId="0" xfId="2" applyNumberFormat="1" applyFont="1" applyFill="1" applyBorder="1" applyAlignment="1">
      <alignment horizontal="left" vertical="center"/>
    </xf>
    <xf numFmtId="0" fontId="52" fillId="7" borderId="0" xfId="2" applyFont="1" applyFill="1"/>
    <xf numFmtId="0" fontId="52" fillId="8" borderId="0" xfId="2" applyFont="1" applyFill="1"/>
    <xf numFmtId="4" fontId="53" fillId="8" borderId="0" xfId="2" applyNumberFormat="1" applyFont="1" applyFill="1" applyAlignment="1" applyProtection="1">
      <protection locked="0"/>
    </xf>
    <xf numFmtId="0" fontId="53" fillId="7" borderId="0" xfId="2" applyFont="1" applyFill="1" applyBorder="1"/>
    <xf numFmtId="166" fontId="53" fillId="8" borderId="0" xfId="2" applyNumberFormat="1" applyFont="1" applyFill="1"/>
    <xf numFmtId="0" fontId="37" fillId="7" borderId="0" xfId="2" applyFont="1" applyFill="1" applyBorder="1" applyAlignment="1">
      <alignment horizontal="left" vertical="center"/>
    </xf>
    <xf numFmtId="0" fontId="37" fillId="7" borderId="0" xfId="2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horizontal="left" vertical="center"/>
    </xf>
    <xf numFmtId="166" fontId="37" fillId="7" borderId="0" xfId="2" applyNumberFormat="1" applyFont="1" applyFill="1" applyBorder="1" applyAlignment="1">
      <alignment vertical="center"/>
    </xf>
    <xf numFmtId="3" fontId="37" fillId="7" borderId="0" xfId="2" applyNumberFormat="1" applyFont="1" applyFill="1" applyBorder="1" applyAlignment="1">
      <alignment vertical="center"/>
    </xf>
    <xf numFmtId="0" fontId="54" fillId="7" borderId="0" xfId="2" applyFont="1" applyFill="1" applyBorder="1" applyAlignment="1">
      <alignment horizontal="left" vertical="center"/>
    </xf>
    <xf numFmtId="166" fontId="54" fillId="7" borderId="0" xfId="2" applyNumberFormat="1" applyFont="1" applyFill="1" applyBorder="1" applyAlignment="1">
      <alignment horizontal="left" vertical="center"/>
    </xf>
    <xf numFmtId="0" fontId="40" fillId="7" borderId="0" xfId="2" applyFont="1" applyFill="1" applyBorder="1" applyAlignment="1">
      <alignment horizontal="left" vertical="center"/>
    </xf>
    <xf numFmtId="3" fontId="55" fillId="7" borderId="0" xfId="2" applyNumberFormat="1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center" vertical="center"/>
    </xf>
    <xf numFmtId="168" fontId="54" fillId="7" borderId="23" xfId="2" applyNumberFormat="1" applyFont="1" applyFill="1" applyBorder="1" applyAlignment="1">
      <alignment horizontal="center" vertical="center"/>
    </xf>
    <xf numFmtId="168" fontId="54" fillId="7" borderId="2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left" vertical="center"/>
    </xf>
    <xf numFmtId="169" fontId="37" fillId="7" borderId="26" xfId="2" applyNumberFormat="1" applyFont="1" applyFill="1" applyBorder="1" applyAlignment="1">
      <alignment horizontal="center" vertical="center"/>
    </xf>
    <xf numFmtId="169" fontId="37" fillId="7" borderId="27" xfId="2" applyNumberFormat="1" applyFont="1" applyFill="1" applyBorder="1" applyAlignment="1">
      <alignment horizontal="center" vertical="center"/>
    </xf>
    <xf numFmtId="3" fontId="37" fillId="7" borderId="26" xfId="2" applyNumberFormat="1" applyFont="1" applyFill="1" applyBorder="1" applyAlignment="1">
      <alignment horizontal="center" vertical="center"/>
    </xf>
    <xf numFmtId="3" fontId="37" fillId="7" borderId="28" xfId="2" applyNumberFormat="1" applyFont="1" applyFill="1" applyBorder="1" applyAlignment="1">
      <alignment horizontal="center" vertical="center"/>
    </xf>
    <xf numFmtId="9" fontId="35" fillId="7" borderId="25" xfId="1" applyFill="1" applyBorder="1" applyAlignment="1" applyProtection="1">
      <alignment horizontal="center" vertical="center"/>
    </xf>
    <xf numFmtId="0" fontId="56" fillId="7" borderId="0" xfId="2" applyFont="1" applyFill="1" applyBorder="1" applyAlignment="1">
      <alignment vertical="center"/>
    </xf>
    <xf numFmtId="169" fontId="37" fillId="7" borderId="29" xfId="2" applyNumberFormat="1" applyFont="1" applyFill="1" applyBorder="1" applyAlignment="1">
      <alignment horizontal="center" vertical="center"/>
    </xf>
    <xf numFmtId="169" fontId="37" fillId="7" borderId="30" xfId="2" applyNumberFormat="1" applyFont="1" applyFill="1" applyBorder="1" applyAlignment="1">
      <alignment horizontal="center" vertical="center"/>
    </xf>
    <xf numFmtId="3" fontId="37" fillId="7" borderId="29" xfId="2" applyNumberFormat="1" applyFont="1" applyFill="1" applyBorder="1" applyAlignment="1">
      <alignment horizontal="center" vertical="center"/>
    </xf>
    <xf numFmtId="3" fontId="37" fillId="7" borderId="31" xfId="2" applyNumberFormat="1" applyFont="1" applyFill="1" applyBorder="1" applyAlignment="1">
      <alignment horizontal="center" vertical="center"/>
    </xf>
    <xf numFmtId="0" fontId="35" fillId="7" borderId="0" xfId="2" applyFill="1"/>
    <xf numFmtId="169" fontId="37" fillId="7" borderId="0" xfId="2" applyNumberFormat="1" applyFont="1" applyFill="1" applyBorder="1" applyAlignment="1">
      <alignment horizontal="right" vertical="center"/>
    </xf>
    <xf numFmtId="1" fontId="37" fillId="7" borderId="23" xfId="2" applyNumberFormat="1" applyFont="1" applyFill="1" applyBorder="1" applyAlignment="1">
      <alignment horizontal="center" vertical="center"/>
    </xf>
    <xf numFmtId="1" fontId="37" fillId="7" borderId="24" xfId="2" applyNumberFormat="1" applyFont="1" applyFill="1" applyBorder="1" applyAlignment="1">
      <alignment horizontal="center" vertical="center"/>
    </xf>
    <xf numFmtId="169" fontId="37" fillId="7" borderId="0" xfId="2" applyNumberFormat="1" applyFont="1" applyFill="1" applyBorder="1" applyAlignment="1">
      <alignment vertical="center"/>
    </xf>
    <xf numFmtId="9" fontId="35" fillId="7" borderId="0" xfId="1" applyFill="1" applyBorder="1" applyAlignment="1" applyProtection="1">
      <alignment vertical="center"/>
    </xf>
    <xf numFmtId="0" fontId="43" fillId="7" borderId="0" xfId="2" applyFont="1" applyFill="1" applyBorder="1" applyAlignment="1">
      <alignment horizontal="left" vertical="center"/>
    </xf>
    <xf numFmtId="3" fontId="54" fillId="7" borderId="0" xfId="2" applyNumberFormat="1" applyFont="1" applyFill="1" applyBorder="1" applyAlignment="1">
      <alignment horizontal="left" vertical="center"/>
    </xf>
    <xf numFmtId="0" fontId="54" fillId="7" borderId="0" xfId="2" applyFont="1" applyFill="1" applyBorder="1" applyAlignment="1">
      <alignment horizontal="center" vertical="center"/>
    </xf>
    <xf numFmtId="0" fontId="54" fillId="7" borderId="23" xfId="2" applyNumberFormat="1" applyFont="1" applyFill="1" applyBorder="1" applyAlignment="1">
      <alignment horizontal="center" vertical="center" wrapText="1"/>
    </xf>
    <xf numFmtId="0" fontId="54" fillId="7" borderId="24" xfId="2" applyNumberFormat="1" applyFont="1" applyFill="1" applyBorder="1" applyAlignment="1">
      <alignment horizontal="center" vertical="center" wrapText="1"/>
    </xf>
    <xf numFmtId="0" fontId="37" fillId="7" borderId="0" xfId="2" applyFont="1" applyFill="1" applyBorder="1" applyAlignment="1">
      <alignment horizontal="center" vertical="center"/>
    </xf>
    <xf numFmtId="169" fontId="37" fillId="7" borderId="32" xfId="2" applyNumberFormat="1" applyFont="1" applyFill="1" applyBorder="1" applyAlignment="1">
      <alignment horizontal="center" vertical="center"/>
    </xf>
    <xf numFmtId="169" fontId="37" fillId="7" borderId="33" xfId="2" applyNumberFormat="1" applyFont="1" applyFill="1" applyBorder="1" applyAlignment="1">
      <alignment horizontal="center" vertical="center"/>
    </xf>
    <xf numFmtId="0" fontId="54" fillId="7" borderId="34" xfId="2" applyNumberFormat="1" applyFont="1" applyFill="1" applyBorder="1" applyAlignment="1">
      <alignment horizontal="center" vertical="center"/>
    </xf>
    <xf numFmtId="0" fontId="37" fillId="7" borderId="26" xfId="2" applyFont="1" applyFill="1" applyBorder="1" applyAlignment="1">
      <alignment horizontal="center" vertical="center"/>
    </xf>
    <xf numFmtId="169" fontId="37" fillId="7" borderId="28" xfId="2" applyNumberFormat="1" applyFont="1" applyFill="1" applyBorder="1" applyAlignment="1">
      <alignment horizontal="center" vertical="center"/>
    </xf>
    <xf numFmtId="1" fontId="37" fillId="7" borderId="35" xfId="2" applyNumberFormat="1" applyFont="1" applyFill="1" applyBorder="1" applyAlignment="1">
      <alignment horizontal="center" vertical="center"/>
    </xf>
    <xf numFmtId="9" fontId="37" fillId="7" borderId="23" xfId="1" applyFont="1" applyFill="1" applyBorder="1" applyAlignment="1" applyProtection="1">
      <alignment horizontal="center" vertical="center"/>
    </xf>
    <xf numFmtId="9" fontId="37" fillId="7" borderId="24" xfId="1" applyFont="1" applyFill="1" applyBorder="1" applyAlignment="1" applyProtection="1">
      <alignment horizontal="center" vertical="center"/>
    </xf>
    <xf numFmtId="9" fontId="37" fillId="7" borderId="35" xfId="1" applyFont="1" applyFill="1" applyBorder="1" applyAlignment="1" applyProtection="1">
      <alignment horizontal="center" vertical="center"/>
    </xf>
    <xf numFmtId="1" fontId="5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vertical="center"/>
    </xf>
    <xf numFmtId="1" fontId="37" fillId="7" borderId="0" xfId="2" applyNumberFormat="1" applyFont="1" applyFill="1" applyBorder="1" applyAlignment="1">
      <alignment horizontal="center"/>
    </xf>
    <xf numFmtId="0" fontId="44" fillId="0" borderId="41" xfId="2" applyFont="1" applyFill="1" applyBorder="1"/>
    <xf numFmtId="2" fontId="46" fillId="0" borderId="41" xfId="2" applyNumberFormat="1" applyFont="1" applyFill="1" applyBorder="1" applyAlignment="1">
      <alignment horizontal="center" vertical="center" wrapText="1"/>
    </xf>
    <xf numFmtId="9" fontId="46" fillId="0" borderId="41" xfId="1" applyFont="1" applyFill="1" applyBorder="1" applyAlignment="1">
      <alignment horizontal="right" vertical="center" wrapText="1"/>
    </xf>
    <xf numFmtId="0" fontId="44" fillId="0" borderId="42" xfId="2" applyFont="1" applyFill="1" applyBorder="1"/>
    <xf numFmtId="2" fontId="46" fillId="0" borderId="42" xfId="2" applyNumberFormat="1" applyFont="1" applyFill="1" applyBorder="1" applyAlignment="1">
      <alignment horizontal="center" vertical="center" wrapText="1"/>
    </xf>
    <xf numFmtId="9" fontId="46" fillId="0" borderId="42" xfId="1" applyFont="1" applyFill="1" applyBorder="1" applyAlignment="1">
      <alignment horizontal="right" vertical="center" wrapText="1"/>
    </xf>
    <xf numFmtId="0" fontId="44" fillId="0" borderId="43" xfId="2" applyFont="1" applyFill="1" applyBorder="1"/>
    <xf numFmtId="2" fontId="46" fillId="0" borderId="43" xfId="2" applyNumberFormat="1" applyFont="1" applyFill="1" applyBorder="1" applyAlignment="1">
      <alignment horizontal="center" vertical="center" wrapText="1"/>
    </xf>
    <xf numFmtId="9" fontId="46" fillId="0" borderId="43" xfId="1" applyFont="1" applyFill="1" applyBorder="1" applyAlignment="1">
      <alignment horizontal="right" vertical="center" wrapText="1"/>
    </xf>
    <xf numFmtId="0" fontId="46" fillId="8" borderId="0" xfId="2" applyFont="1" applyFill="1" applyAlignment="1">
      <alignment horizontal="left" vertical="center" wrapText="1"/>
    </xf>
    <xf numFmtId="9" fontId="0" fillId="0" borderId="0" xfId="4" applyFont="1" applyAlignment="1" applyProtection="1">
      <alignment vertical="center"/>
      <protection locked="0"/>
    </xf>
    <xf numFmtId="164" fontId="30" fillId="3" borderId="3" xfId="0" applyNumberFormat="1" applyFont="1" applyFill="1" applyBorder="1" applyAlignment="1">
      <alignment horizontal="right" vertical="center"/>
      <protection locked="0"/>
    </xf>
    <xf numFmtId="164" fontId="30" fillId="3" borderId="0" xfId="0" applyNumberFormat="1" applyFont="1" applyFill="1" applyBorder="1" applyAlignment="1">
      <alignment horizontal="right" vertical="center"/>
      <protection locked="0"/>
    </xf>
    <xf numFmtId="164" fontId="31" fillId="3" borderId="3" xfId="0" applyNumberFormat="1" applyFont="1" applyFill="1" applyBorder="1" applyAlignment="1">
      <alignment horizontal="right" vertical="center"/>
      <protection locked="0"/>
    </xf>
    <xf numFmtId="164" fontId="31" fillId="3" borderId="0" xfId="0" applyNumberFormat="1" applyFont="1" applyFill="1" applyBorder="1" applyAlignment="1">
      <alignment horizontal="right" vertical="center"/>
      <protection locked="0"/>
    </xf>
    <xf numFmtId="164" fontId="33" fillId="3" borderId="6" xfId="0" applyNumberFormat="1" applyFont="1" applyFill="1" applyBorder="1" applyAlignment="1">
      <alignment horizontal="right" vertical="center"/>
      <protection locked="0"/>
    </xf>
    <xf numFmtId="164" fontId="30" fillId="3" borderId="44" xfId="0" applyNumberFormat="1" applyFont="1" applyFill="1" applyBorder="1" applyAlignment="1">
      <alignment horizontal="right" vertical="center"/>
      <protection locked="0"/>
    </xf>
    <xf numFmtId="165" fontId="34" fillId="0" borderId="12" xfId="0" applyNumberFormat="1" applyFont="1" applyBorder="1" applyAlignment="1">
      <alignment horizontal="right" vertical="center"/>
      <protection locked="0"/>
    </xf>
    <xf numFmtId="0" fontId="35" fillId="0" borderId="0" xfId="2"/>
    <xf numFmtId="49" fontId="71" fillId="0" borderId="0" xfId="2" applyNumberFormat="1" applyFont="1" applyFill="1" applyBorder="1" applyAlignment="1">
      <alignment horizontal="left" vertical="center"/>
    </xf>
    <xf numFmtId="0" fontId="35" fillId="0" borderId="0" xfId="2" applyFont="1" applyFill="1" applyBorder="1" applyAlignment="1">
      <alignment horizontal="left" vertical="center"/>
    </xf>
    <xf numFmtId="0" fontId="72" fillId="0" borderId="0" xfId="2" applyFont="1"/>
    <xf numFmtId="0" fontId="70" fillId="0" borderId="0" xfId="2" applyFont="1" applyFill="1" applyAlignment="1"/>
    <xf numFmtId="0" fontId="40" fillId="0" borderId="0" xfId="2" applyFont="1" applyFill="1" applyAlignment="1"/>
    <xf numFmtId="0" fontId="35" fillId="0" borderId="0" xfId="2" applyFill="1"/>
    <xf numFmtId="0" fontId="73" fillId="0" borderId="0" xfId="2" applyFont="1" applyFill="1" applyAlignment="1"/>
    <xf numFmtId="0" fontId="35" fillId="0" borderId="0" xfId="2" applyFont="1" applyFill="1" applyAlignment="1"/>
    <xf numFmtId="0" fontId="40" fillId="0" borderId="0" xfId="2" applyFont="1" applyAlignment="1">
      <alignment vertical="center"/>
    </xf>
    <xf numFmtId="0" fontId="74" fillId="0" borderId="0" xfId="2" applyFont="1" applyFill="1" applyAlignment="1">
      <alignment horizontal="center" vertical="center" wrapText="1"/>
    </xf>
    <xf numFmtId="3" fontId="37" fillId="7" borderId="50" xfId="2" applyNumberFormat="1" applyFont="1" applyFill="1" applyBorder="1" applyAlignment="1">
      <alignment horizontal="center" vertical="center"/>
    </xf>
    <xf numFmtId="3" fontId="37" fillId="7" borderId="51" xfId="2" applyNumberFormat="1" applyFont="1" applyFill="1" applyBorder="1" applyAlignment="1">
      <alignment horizontal="center" vertical="center"/>
    </xf>
    <xf numFmtId="0" fontId="46" fillId="8" borderId="53" xfId="2" applyFont="1" applyFill="1" applyBorder="1" applyAlignment="1">
      <alignment horizontal="center" vertical="center" wrapText="1"/>
    </xf>
    <xf numFmtId="0" fontId="58" fillId="8" borderId="54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56" xfId="2" applyFont="1" applyFill="1" applyBorder="1" applyAlignment="1">
      <alignment horizontal="center" vertical="center" wrapText="1"/>
    </xf>
    <xf numFmtId="166" fontId="54" fillId="7" borderId="0" xfId="2" applyNumberFormat="1" applyFont="1" applyFill="1" applyBorder="1" applyAlignment="1">
      <alignment horizontal="center" vertical="center" wrapText="1"/>
    </xf>
    <xf numFmtId="9" fontId="35" fillId="7" borderId="0" xfId="1" applyFill="1" applyBorder="1" applyAlignment="1" applyProtection="1">
      <alignment horizontal="center" vertical="center"/>
    </xf>
    <xf numFmtId="168" fontId="54" fillId="7" borderId="57" xfId="2" applyNumberFormat="1" applyFont="1" applyFill="1" applyBorder="1" applyAlignment="1">
      <alignment horizontal="center" vertical="center"/>
    </xf>
    <xf numFmtId="9" fontId="35" fillId="7" borderId="58" xfId="1" applyFill="1" applyBorder="1" applyAlignment="1">
      <alignment horizontal="center" vertical="center"/>
    </xf>
    <xf numFmtId="9" fontId="35" fillId="7" borderId="59" xfId="1" applyFill="1" applyBorder="1" applyAlignment="1">
      <alignment horizontal="center" vertical="center"/>
    </xf>
    <xf numFmtId="49" fontId="54" fillId="7" borderId="49" xfId="2" applyNumberFormat="1" applyFont="1" applyFill="1" applyBorder="1" applyAlignment="1">
      <alignment horizontal="center" vertical="center"/>
    </xf>
    <xf numFmtId="1" fontId="37" fillId="7" borderId="49" xfId="2" applyNumberFormat="1" applyFont="1" applyFill="1" applyBorder="1" applyAlignment="1">
      <alignment horizontal="center" vertical="center"/>
    </xf>
    <xf numFmtId="9" fontId="35" fillId="7" borderId="52" xfId="1" applyFill="1" applyBorder="1" applyAlignment="1">
      <alignment horizontal="center" vertical="center"/>
    </xf>
    <xf numFmtId="0" fontId="46" fillId="8" borderId="48" xfId="2" applyFont="1" applyFill="1" applyBorder="1" applyAlignment="1">
      <alignment horizontal="center" vertical="center" wrapText="1"/>
    </xf>
    <xf numFmtId="0" fontId="54" fillId="7" borderId="35" xfId="2" applyNumberFormat="1" applyFont="1" applyFill="1" applyBorder="1" applyAlignment="1">
      <alignment horizontal="center" vertical="center" wrapText="1"/>
    </xf>
    <xf numFmtId="169" fontId="37" fillId="7" borderId="60" xfId="2" applyNumberFormat="1" applyFont="1" applyFill="1" applyBorder="1" applyAlignment="1">
      <alignment horizontal="center" vertical="center"/>
    </xf>
    <xf numFmtId="169" fontId="37" fillId="7" borderId="25" xfId="2" applyNumberFormat="1" applyFont="1" applyFill="1" applyBorder="1" applyAlignment="1">
      <alignment horizontal="center" vertical="center"/>
    </xf>
    <xf numFmtId="0" fontId="54" fillId="7" borderId="52" xfId="2" applyNumberFormat="1" applyFont="1" applyFill="1" applyBorder="1" applyAlignment="1">
      <alignment horizontal="center" vertical="center" wrapText="1"/>
    </xf>
    <xf numFmtId="169" fontId="37" fillId="7" borderId="61" xfId="2" applyNumberFormat="1" applyFont="1" applyFill="1" applyBorder="1" applyAlignment="1">
      <alignment horizontal="center" vertical="center"/>
    </xf>
    <xf numFmtId="169" fontId="37" fillId="7" borderId="62" xfId="2" applyNumberFormat="1" applyFont="1" applyFill="1" applyBorder="1" applyAlignment="1">
      <alignment horizontal="center" vertical="center"/>
    </xf>
    <xf numFmtId="1" fontId="37" fillId="7" borderId="52" xfId="2" applyNumberFormat="1" applyFont="1" applyFill="1" applyBorder="1" applyAlignment="1">
      <alignment horizontal="center" vertical="center"/>
    </xf>
    <xf numFmtId="9" fontId="37" fillId="7" borderId="52" xfId="1" applyFont="1" applyFill="1" applyBorder="1" applyAlignment="1" applyProtection="1">
      <alignment horizontal="center" vertical="center"/>
    </xf>
    <xf numFmtId="0" fontId="58" fillId="8" borderId="63" xfId="2" applyFont="1" applyFill="1" applyBorder="1" applyAlignment="1">
      <alignment horizontal="center" vertical="center" wrapText="1"/>
    </xf>
    <xf numFmtId="0" fontId="46" fillId="8" borderId="63" xfId="2" applyFont="1" applyFill="1" applyBorder="1" applyAlignment="1">
      <alignment horizontal="center" vertical="center" wrapText="1"/>
    </xf>
    <xf numFmtId="0" fontId="58" fillId="8" borderId="64" xfId="2" applyFont="1" applyFill="1" applyBorder="1" applyAlignment="1">
      <alignment horizontal="center" vertical="center" wrapText="1"/>
    </xf>
    <xf numFmtId="9" fontId="37" fillId="7" borderId="48" xfId="1" applyFont="1" applyFill="1" applyBorder="1" applyAlignment="1" applyProtection="1">
      <alignment horizontal="center" vertical="center"/>
    </xf>
    <xf numFmtId="9" fontId="37" fillId="0" borderId="0" xfId="4" applyFont="1" applyFill="1"/>
    <xf numFmtId="172" fontId="0" fillId="0" borderId="0" xfId="30" applyNumberFormat="1" applyFont="1" applyAlignment="1" applyProtection="1">
      <alignment vertical="center"/>
      <protection locked="0"/>
    </xf>
    <xf numFmtId="165" fontId="0" fillId="0" borderId="0" xfId="4" applyNumberFormat="1" applyFont="1" applyProtection="1">
      <protection locked="0"/>
    </xf>
    <xf numFmtId="1" fontId="34" fillId="3" borderId="8" xfId="0" applyNumberFormat="1" applyFont="1" applyFill="1" applyBorder="1" applyAlignment="1">
      <alignment horizontal="right" vertical="center"/>
      <protection locked="0"/>
    </xf>
    <xf numFmtId="1" fontId="30" fillId="3" borderId="13" xfId="0" applyNumberFormat="1" applyFont="1" applyFill="1" applyBorder="1" applyAlignment="1">
      <alignment horizontal="right" vertical="center"/>
      <protection locked="0"/>
    </xf>
    <xf numFmtId="1" fontId="30" fillId="3" borderId="44" xfId="0" applyNumberFormat="1" applyFont="1" applyFill="1" applyBorder="1" applyAlignment="1">
      <alignment horizontal="right" vertical="center"/>
      <protection locked="0"/>
    </xf>
    <xf numFmtId="166" fontId="0" fillId="0" borderId="0" xfId="4" applyNumberFormat="1" applyFont="1" applyProtection="1">
      <protection locked="0"/>
    </xf>
    <xf numFmtId="164" fontId="35" fillId="0" borderId="0" xfId="2" applyNumberFormat="1"/>
    <xf numFmtId="0" fontId="5" fillId="2" borderId="0" xfId="3" applyNumberFormat="1" applyFont="1" applyFill="1" applyBorder="1" applyAlignment="1" applyProtection="1">
      <protection locked="0"/>
    </xf>
    <xf numFmtId="0" fontId="12" fillId="2" borderId="0" xfId="3" applyNumberFormat="1" applyFont="1" applyFill="1" applyBorder="1" applyAlignment="1" applyProtection="1">
      <protection locked="0"/>
    </xf>
    <xf numFmtId="0" fontId="13" fillId="2" borderId="0" xfId="3" applyNumberFormat="1" applyFont="1" applyFill="1" applyBorder="1" applyAlignment="1" applyProtection="1">
      <protection locked="0"/>
    </xf>
    <xf numFmtId="0" fontId="23" fillId="2" borderId="2" xfId="0" applyFont="1" applyFill="1" applyBorder="1" applyAlignment="1">
      <alignment vertical="center" wrapText="1"/>
      <protection locked="0"/>
    </xf>
    <xf numFmtId="0" fontId="35" fillId="0" borderId="0" xfId="2" applyFont="1" applyFill="1" applyBorder="1" applyAlignment="1">
      <alignment horizontal="left" vertical="center"/>
    </xf>
    <xf numFmtId="0" fontId="40" fillId="0" borderId="0" xfId="2" applyFont="1" applyBorder="1" applyAlignment="1">
      <alignment horizontal="left" vertical="center"/>
    </xf>
    <xf numFmtId="0" fontId="39" fillId="0" borderId="0" xfId="2" applyFont="1" applyFill="1" applyBorder="1"/>
    <xf numFmtId="0" fontId="45" fillId="0" borderId="14" xfId="2" applyFont="1" applyFill="1" applyBorder="1" applyAlignment="1">
      <alignment horizontal="center" vertical="center" wrapText="1"/>
    </xf>
    <xf numFmtId="0" fontId="45" fillId="0" borderId="0" xfId="2" applyFont="1" applyFill="1" applyBorder="1" applyAlignment="1">
      <alignment horizontal="center" vertical="center" wrapText="1"/>
    </xf>
    <xf numFmtId="0" fontId="46" fillId="6" borderId="36" xfId="2" applyFont="1" applyFill="1" applyBorder="1" applyAlignment="1">
      <alignment horizontal="center" vertical="center" wrapText="1"/>
    </xf>
    <xf numFmtId="0" fontId="46" fillId="6" borderId="39" xfId="2" applyFont="1" applyFill="1" applyBorder="1" applyAlignment="1">
      <alignment horizontal="center" vertical="center" wrapText="1"/>
    </xf>
    <xf numFmtId="0" fontId="46" fillId="6" borderId="37" xfId="2" applyFont="1" applyFill="1" applyBorder="1" applyAlignment="1">
      <alignment horizontal="center" vertical="center" wrapText="1"/>
    </xf>
    <xf numFmtId="0" fontId="46" fillId="6" borderId="0" xfId="2" applyFont="1" applyFill="1" applyBorder="1" applyAlignment="1">
      <alignment horizontal="center" vertical="center" wrapText="1"/>
    </xf>
    <xf numFmtId="0" fontId="46" fillId="6" borderId="38" xfId="2" applyFont="1" applyFill="1" applyBorder="1" applyAlignment="1">
      <alignment horizontal="center" vertical="center" wrapText="1"/>
    </xf>
    <xf numFmtId="0" fontId="46" fillId="6" borderId="40" xfId="2" applyFont="1" applyFill="1" applyBorder="1" applyAlignment="1">
      <alignment horizontal="center" vertical="center" wrapText="1"/>
    </xf>
    <xf numFmtId="0" fontId="38" fillId="0" borderId="0" xfId="2" applyFont="1" applyFill="1" applyBorder="1" applyAlignment="1"/>
    <xf numFmtId="2" fontId="47" fillId="0" borderId="0" xfId="2" applyNumberFormat="1" applyFont="1" applyFill="1" applyBorder="1" applyAlignment="1">
      <alignment horizontal="left" vertical="center" shrinkToFit="1"/>
    </xf>
    <xf numFmtId="0" fontId="50" fillId="0" borderId="0" xfId="2" applyFont="1" applyFill="1" applyBorder="1" applyAlignment="1">
      <alignment horizontal="center"/>
    </xf>
    <xf numFmtId="0" fontId="46" fillId="6" borderId="15" xfId="2" applyFont="1" applyFill="1" applyBorder="1" applyAlignment="1">
      <alignment horizontal="center" vertical="center" wrapText="1"/>
    </xf>
    <xf numFmtId="0" fontId="46" fillId="6" borderId="18" xfId="2" applyFont="1" applyFill="1" applyBorder="1" applyAlignment="1">
      <alignment horizontal="center" vertical="center" wrapText="1"/>
    </xf>
    <xf numFmtId="0" fontId="46" fillId="6" borderId="16" xfId="2" applyFont="1" applyFill="1" applyBorder="1" applyAlignment="1">
      <alignment horizontal="center" vertical="center" wrapText="1"/>
    </xf>
    <xf numFmtId="0" fontId="46" fillId="6" borderId="17" xfId="2" applyFont="1" applyFill="1" applyBorder="1" applyAlignment="1">
      <alignment horizontal="center" vertical="center" wrapText="1"/>
    </xf>
    <xf numFmtId="0" fontId="46" fillId="6" borderId="19" xfId="2" applyFont="1" applyFill="1" applyBorder="1" applyAlignment="1">
      <alignment horizontal="center" vertical="center" wrapText="1"/>
    </xf>
    <xf numFmtId="3" fontId="19" fillId="0" borderId="2" xfId="0" applyNumberFormat="1" applyFont="1" applyBorder="1">
      <protection locked="0"/>
    </xf>
    <xf numFmtId="3" fontId="0" fillId="0" borderId="2" xfId="0" applyNumberFormat="1" applyBorder="1">
      <protection locked="0"/>
    </xf>
    <xf numFmtId="3" fontId="30" fillId="0" borderId="4" xfId="0" applyNumberFormat="1" applyFont="1" applyBorder="1" applyAlignment="1">
      <alignment horizontal="right" vertical="center"/>
      <protection locked="0"/>
    </xf>
    <xf numFmtId="3" fontId="30" fillId="0" borderId="10" xfId="0" applyNumberFormat="1" applyFont="1" applyBorder="1" applyAlignment="1">
      <alignment horizontal="right" vertical="center"/>
      <protection locked="0"/>
    </xf>
    <xf numFmtId="3" fontId="30" fillId="0" borderId="12" xfId="0" applyNumberFormat="1" applyFont="1" applyBorder="1" applyAlignment="1">
      <alignment horizontal="right" vertical="center"/>
      <protection locked="0"/>
    </xf>
    <xf numFmtId="3" fontId="31" fillId="0" borderId="4" xfId="0" applyNumberFormat="1" applyFont="1" applyBorder="1" applyAlignment="1">
      <alignment horizontal="right" vertical="center"/>
      <protection locked="0"/>
    </xf>
    <xf numFmtId="3" fontId="31" fillId="0" borderId="10" xfId="0" applyNumberFormat="1" applyFont="1" applyBorder="1" applyAlignment="1">
      <alignment horizontal="right" vertical="center"/>
      <protection locked="0"/>
    </xf>
    <xf numFmtId="3" fontId="31" fillId="0" borderId="12" xfId="0" applyNumberFormat="1" applyFont="1" applyBorder="1" applyAlignment="1">
      <alignment horizontal="right" vertical="center"/>
      <protection locked="0"/>
    </xf>
    <xf numFmtId="3" fontId="32" fillId="0" borderId="5" xfId="0" applyNumberFormat="1" applyFont="1" applyBorder="1" applyAlignment="1">
      <alignment horizontal="right" vertical="center"/>
      <protection locked="0"/>
    </xf>
    <xf numFmtId="3" fontId="30" fillId="0" borderId="3" xfId="0" applyNumberFormat="1" applyFont="1" applyFill="1" applyBorder="1" applyAlignment="1">
      <alignment horizontal="right" vertical="center"/>
      <protection locked="0"/>
    </xf>
    <xf numFmtId="3" fontId="30" fillId="0" borderId="0" xfId="0" applyNumberFormat="1" applyFont="1" applyFill="1" applyBorder="1" applyAlignment="1">
      <alignment horizontal="right" vertical="center"/>
      <protection locked="0"/>
    </xf>
    <xf numFmtId="3" fontId="31" fillId="0" borderId="3" xfId="0" applyNumberFormat="1" applyFont="1" applyFill="1" applyBorder="1" applyAlignment="1">
      <alignment horizontal="right" vertical="center"/>
      <protection locked="0"/>
    </xf>
    <xf numFmtId="3" fontId="31" fillId="0" borderId="0" xfId="0" applyNumberFormat="1" applyFont="1" applyFill="1" applyBorder="1" applyAlignment="1">
      <alignment horizontal="right" vertical="center"/>
      <protection locked="0"/>
    </xf>
    <xf numFmtId="3" fontId="33" fillId="0" borderId="6" xfId="0" applyNumberFormat="1" applyFont="1" applyFill="1" applyBorder="1" applyAlignment="1">
      <alignment horizontal="right" vertical="center"/>
      <protection locked="0"/>
    </xf>
    <xf numFmtId="3" fontId="30" fillId="0" borderId="4" xfId="0" applyNumberFormat="1" applyFont="1" applyFill="1" applyBorder="1" applyAlignment="1">
      <alignment horizontal="right" vertical="center"/>
      <protection locked="0"/>
    </xf>
    <xf numFmtId="3" fontId="30" fillId="0" borderId="10" xfId="0" applyNumberFormat="1" applyFont="1" applyFill="1" applyBorder="1" applyAlignment="1">
      <alignment horizontal="right" vertical="center"/>
      <protection locked="0"/>
    </xf>
    <xf numFmtId="3" fontId="31" fillId="0" borderId="4" xfId="0" applyNumberFormat="1" applyFont="1" applyFill="1" applyBorder="1" applyAlignment="1">
      <alignment horizontal="right" vertical="center"/>
      <protection locked="0"/>
    </xf>
    <xf numFmtId="3" fontId="31" fillId="0" borderId="10" xfId="0" applyNumberFormat="1" applyFont="1" applyFill="1" applyBorder="1" applyAlignment="1">
      <alignment horizontal="right" vertical="center"/>
      <protection locked="0"/>
    </xf>
    <xf numFmtId="3" fontId="29" fillId="2" borderId="5" xfId="0" applyNumberFormat="1" applyFont="1" applyFill="1" applyBorder="1" applyAlignment="1">
      <alignment vertical="center"/>
      <protection locked="0"/>
    </xf>
  </cellXfs>
  <cellStyles count="31">
    <cellStyle name="20 % - Accent1 2" xfId="5"/>
    <cellStyle name="20 % - Accent5 2" xfId="6"/>
    <cellStyle name="20 % - Accent6 2" xfId="7"/>
    <cellStyle name="40 % - Accent6 2" xfId="8"/>
    <cellStyle name="60 % - Accent1 2" xfId="9"/>
    <cellStyle name="60 % - Accent5 2" xfId="10"/>
    <cellStyle name="60 % - Accent6 2" xfId="11"/>
    <cellStyle name="Accent5 2" xfId="12"/>
    <cellStyle name="Calcul 2" xfId="13"/>
    <cellStyle name="Comma [0]" xfId="14"/>
    <cellStyle name="Commentaire" xfId="15"/>
    <cellStyle name="Currency [0]" xfId="16"/>
    <cellStyle name="En-tête" xfId="17"/>
    <cellStyle name="Entrée 2" xfId="18"/>
    <cellStyle name="Lien hypertexte 2" xfId="19"/>
    <cellStyle name="Milliers" xfId="30" builtinId="3"/>
    <cellStyle name="Milliers 2" xfId="21"/>
    <cellStyle name="Milliers 3" xfId="20"/>
    <cellStyle name="Normal" xfId="0" builtinId="0"/>
    <cellStyle name="Normal 2" xfId="2"/>
    <cellStyle name="Normal 3" xfId="22"/>
    <cellStyle name="Pourcentage" xfId="4" builtinId="5"/>
    <cellStyle name="Pourcentage 2" xfId="1"/>
    <cellStyle name="Pourcentage 2 2" xfId="23"/>
    <cellStyle name="Résultat 1" xfId="24"/>
    <cellStyle name="Résultat2 1" xfId="25"/>
    <cellStyle name="Sortie 2" xfId="26"/>
    <cellStyle name="Texte explicatif" xfId="3" builtinId="53" customBuiltin="1"/>
    <cellStyle name="Titre 1" xfId="27"/>
    <cellStyle name="Titre 2" xfId="28"/>
    <cellStyle name="Titre1 1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cotations_cereales!$B$11:$B$12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A-46A5-9E5E-A14FA473C587}"/>
            </c:ext>
          </c:extLst>
        </c:ser>
        <c:ser>
          <c:idx val="1"/>
          <c:order val="1"/>
          <c:tx>
            <c:strRef>
              <c:f>cotations_cereales!$D$11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cotations_cereales!$D$13:$D$24</c:f>
              <c:numCache>
                <c:formatCode>0.00</c:formatCode>
                <c:ptCount val="12"/>
                <c:pt idx="0">
                  <c:v>345.62</c:v>
                </c:pt>
                <c:pt idx="1">
                  <c:v>330.32</c:v>
                </c:pt>
                <c:pt idx="2">
                  <c:v>333.7</c:v>
                </c:pt>
                <c:pt idx="3">
                  <c:v>344.16</c:v>
                </c:pt>
                <c:pt idx="4">
                  <c:v>325.29000000000002</c:v>
                </c:pt>
                <c:pt idx="5">
                  <c:v>304.89</c:v>
                </c:pt>
                <c:pt idx="6">
                  <c:v>291.33999999999997</c:v>
                </c:pt>
                <c:pt idx="7">
                  <c:v>283.89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</c:v>
                </c:pt>
                <c:pt idx="11">
                  <c:v>230.73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A-46A5-9E5E-A14FA473C587}"/>
            </c:ext>
          </c:extLst>
        </c:ser>
        <c:ser>
          <c:idx val="2"/>
          <c:order val="2"/>
          <c:tx>
            <c:strRef>
              <c:f>cotations_cereales!$C$11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cotations_cereales!$C$13:$C$24</c:f>
              <c:numCache>
                <c:formatCode>0.00</c:formatCode>
                <c:ptCount val="12"/>
                <c:pt idx="0">
                  <c:v>207.88</c:v>
                </c:pt>
                <c:pt idx="1">
                  <c:v>243.72</c:v>
                </c:pt>
                <c:pt idx="2">
                  <c:v>248.46</c:v>
                </c:pt>
                <c:pt idx="3">
                  <c:v>270.04047619047623</c:v>
                </c:pt>
                <c:pt idx="4">
                  <c:v>291.72750000000002</c:v>
                </c:pt>
                <c:pt idx="5">
                  <c:v>280.73846153846154</c:v>
                </c:pt>
                <c:pt idx="6">
                  <c:v>271.10857142857139</c:v>
                </c:pt>
                <c:pt idx="7">
                  <c:v>270.84550000000002</c:v>
                </c:pt>
                <c:pt idx="8">
                  <c:v>378.84565217391309</c:v>
                </c:pt>
                <c:pt idx="9">
                  <c:v>384.16437500000001</c:v>
                </c:pt>
                <c:pt idx="10">
                  <c:v>402.49</c:v>
                </c:pt>
                <c:pt idx="11">
                  <c:v>382.88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A-46A5-9E5E-A14FA473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cotations_cereales!$B$49:$B$50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cotations_cereales!$B$51:$B$62</c:f>
              <c:numCache>
                <c:formatCode>0.00</c:formatCode>
                <c:ptCount val="12"/>
                <c:pt idx="0">
                  <c:v>169.69186261107311</c:v>
                </c:pt>
                <c:pt idx="1">
                  <c:v>178.31247922077924</c:v>
                </c:pt>
                <c:pt idx="2">
                  <c:v>178.7964813852814</c:v>
                </c:pt>
                <c:pt idx="3">
                  <c:v>189.36228778467913</c:v>
                </c:pt>
                <c:pt idx="4">
                  <c:v>194.47630802005011</c:v>
                </c:pt>
                <c:pt idx="5">
                  <c:v>191.73595833333334</c:v>
                </c:pt>
                <c:pt idx="6">
                  <c:v>194.06306079592923</c:v>
                </c:pt>
                <c:pt idx="7">
                  <c:v>192.13846797385622</c:v>
                </c:pt>
                <c:pt idx="8">
                  <c:v>211.85440993788819</c:v>
                </c:pt>
                <c:pt idx="9">
                  <c:v>210.47382499999998</c:v>
                </c:pt>
                <c:pt idx="10">
                  <c:v>210.60489718614718</c:v>
                </c:pt>
                <c:pt idx="11">
                  <c:v>168.59603497379814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C-4E30-9BC5-2CD650AEC761}"/>
            </c:ext>
          </c:extLst>
        </c:ser>
        <c:ser>
          <c:idx val="1"/>
          <c:order val="1"/>
          <c:tx>
            <c:strRef>
              <c:f>cotations_cereales!$D$49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cotations_cereales!$D$51:$D$62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  <c:pt idx="11">
                  <c:v>239.06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C-4E30-9BC5-2CD650AEC761}"/>
            </c:ext>
          </c:extLst>
        </c:ser>
        <c:ser>
          <c:idx val="2"/>
          <c:order val="2"/>
          <c:tx>
            <c:strRef>
              <c:f>cotations_cereales!$C$49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cotations_cereales!$C$51:$C$62</c:f>
              <c:numCache>
                <c:formatCode>0.00</c:formatCode>
                <c:ptCount val="12"/>
                <c:pt idx="0">
                  <c:v>203.5</c:v>
                </c:pt>
                <c:pt idx="1">
                  <c:v>214.38</c:v>
                </c:pt>
                <c:pt idx="2">
                  <c:v>222.7</c:v>
                </c:pt>
                <c:pt idx="3">
                  <c:v>241.25</c:v>
                </c:pt>
                <c:pt idx="4">
                  <c:v>252.47</c:v>
                </c:pt>
                <c:pt idx="5">
                  <c:v>249.72</c:v>
                </c:pt>
                <c:pt idx="6">
                  <c:v>251.08</c:v>
                </c:pt>
                <c:pt idx="7">
                  <c:v>261.27999999999997</c:v>
                </c:pt>
                <c:pt idx="8">
                  <c:v>361.98</c:v>
                </c:pt>
                <c:pt idx="9">
                  <c:v>347.21</c:v>
                </c:pt>
                <c:pt idx="10">
                  <c:v>365.06</c:v>
                </c:pt>
                <c:pt idx="11">
                  <c:v>325.67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C-4E30-9BC5-2CD650AE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cotations_cereales!$B$30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cotations_cereales!$B$32:$B$43</c:f>
              <c:numCache>
                <c:formatCode>0.00</c:formatCode>
                <c:ptCount val="12"/>
                <c:pt idx="0">
                  <c:v>258.8</c:v>
                </c:pt>
                <c:pt idx="1">
                  <c:v>253.07</c:v>
                </c:pt>
                <c:pt idx="2">
                  <c:v>285.92</c:v>
                </c:pt>
                <c:pt idx="3">
                  <c:v>314.55</c:v>
                </c:pt>
                <c:pt idx="4">
                  <c:v>292.45</c:v>
                </c:pt>
                <c:pt idx="5">
                  <c:v>271.44</c:v>
                </c:pt>
                <c:pt idx="6">
                  <c:v>292.25</c:v>
                </c:pt>
                <c:pt idx="7">
                  <c:v>285.35000000000002</c:v>
                </c:pt>
                <c:pt idx="8">
                  <c:v>280.55</c:v>
                </c:pt>
                <c:pt idx="9">
                  <c:v>280.07</c:v>
                </c:pt>
                <c:pt idx="10">
                  <c:v>289.31400000000002</c:v>
                </c:pt>
                <c:pt idx="11">
                  <c:v>299.44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4-4725-B655-D166347A2070}"/>
            </c:ext>
          </c:extLst>
        </c:ser>
        <c:ser>
          <c:idx val="1"/>
          <c:order val="1"/>
          <c:tx>
            <c:strRef>
              <c:f>cotations_cereales!$D$30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cotations_cereales!$D$32:$D$43</c:f>
              <c:numCache>
                <c:formatCode>0.00</c:formatCode>
                <c:ptCount val="12"/>
                <c:pt idx="2">
                  <c:v>454.08</c:v>
                </c:pt>
                <c:pt idx="3">
                  <c:v>484.43</c:v>
                </c:pt>
                <c:pt idx="4">
                  <c:v>484.51</c:v>
                </c:pt>
                <c:pt idx="5">
                  <c:v>475.94</c:v>
                </c:pt>
                <c:pt idx="6">
                  <c:v>452.58</c:v>
                </c:pt>
                <c:pt idx="7">
                  <c:v>436.46</c:v>
                </c:pt>
                <c:pt idx="8">
                  <c:v>425.98</c:v>
                </c:pt>
                <c:pt idx="9">
                  <c:v>408.83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4-4725-B655-D166347A2070}"/>
            </c:ext>
          </c:extLst>
        </c:ser>
        <c:ser>
          <c:idx val="2"/>
          <c:order val="2"/>
          <c:tx>
            <c:strRef>
              <c:f>cotations_cereales!$C$30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cotations_cereales!$C$32:$C$43</c:f>
              <c:numCache>
                <c:formatCode>0.00</c:formatCode>
                <c:ptCount val="12"/>
                <c:pt idx="0">
                  <c:v>296.05</c:v>
                </c:pt>
                <c:pt idx="2">
                  <c:v>439.7</c:v>
                </c:pt>
                <c:pt idx="3">
                  <c:v>480.37</c:v>
                </c:pt>
                <c:pt idx="4">
                  <c:v>478.67</c:v>
                </c:pt>
                <c:pt idx="5">
                  <c:v>472.7</c:v>
                </c:pt>
                <c:pt idx="6">
                  <c:v>474.9</c:v>
                </c:pt>
                <c:pt idx="8">
                  <c:v>435.5</c:v>
                </c:pt>
                <c:pt idx="9">
                  <c:v>434.9</c:v>
                </c:pt>
                <c:pt idx="11">
                  <c:v>528.09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4-4725-B655-D166347A2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oleoproteagineux'!$B$3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oleoproteagineux'!$B$4:$B$15</c:f>
              <c:numCache>
                <c:formatCode>0.00</c:formatCode>
                <c:ptCount val="12"/>
                <c:pt idx="0" formatCode="General">
                  <c:v>395.50833333333333</c:v>
                </c:pt>
                <c:pt idx="1">
                  <c:v>407.18333333333334</c:v>
                </c:pt>
                <c:pt idx="2">
                  <c:v>417.92500000000001</c:v>
                </c:pt>
                <c:pt idx="3">
                  <c:v>433.32499999999999</c:v>
                </c:pt>
                <c:pt idx="4">
                  <c:v>446.62333333333333</c:v>
                </c:pt>
                <c:pt idx="5">
                  <c:v>442.73333333333341</c:v>
                </c:pt>
                <c:pt idx="6">
                  <c:v>456.5</c:v>
                </c:pt>
                <c:pt idx="7">
                  <c:v>455.25</c:v>
                </c:pt>
                <c:pt idx="8">
                  <c:v>528.125</c:v>
                </c:pt>
                <c:pt idx="9">
                  <c:v>511.86666666666662</c:v>
                </c:pt>
                <c:pt idx="10">
                  <c:v>485.41666666666669</c:v>
                </c:pt>
                <c:pt idx="11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0-420C-BCF2-EA629605DEE3}"/>
            </c:ext>
          </c:extLst>
        </c:ser>
        <c:ser>
          <c:idx val="1"/>
          <c:order val="1"/>
          <c:tx>
            <c:strRef>
              <c:f>'Cotations oleoproteagineux'!$C$3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oleoproteagineux'!$C$4:$C$15</c:f>
              <c:numCache>
                <c:formatCode>0.00</c:formatCode>
                <c:ptCount val="12"/>
                <c:pt idx="0" formatCode="General">
                  <c:v>533.66666666666663</c:v>
                </c:pt>
                <c:pt idx="1">
                  <c:v>558</c:v>
                </c:pt>
                <c:pt idx="2">
                  <c:v>604</c:v>
                </c:pt>
                <c:pt idx="3">
                  <c:v>669.375</c:v>
                </c:pt>
                <c:pt idx="4">
                  <c:v>695.66666666666663</c:v>
                </c:pt>
                <c:pt idx="5">
                  <c:v>683.33333333333337</c:v>
                </c:pt>
                <c:pt idx="6">
                  <c:v>734</c:v>
                </c:pt>
                <c:pt idx="7">
                  <c:v>727.25</c:v>
                </c:pt>
                <c:pt idx="8">
                  <c:v>910.2</c:v>
                </c:pt>
                <c:pt idx="9">
                  <c:v>1008.5</c:v>
                </c:pt>
                <c:pt idx="10">
                  <c:v>836.5</c:v>
                </c:pt>
                <c:pt idx="11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0-420C-BCF2-EA629605DEE3}"/>
            </c:ext>
          </c:extLst>
        </c:ser>
        <c:ser>
          <c:idx val="2"/>
          <c:order val="2"/>
          <c:tx>
            <c:strRef>
              <c:f>'Cotations oleoproteagineux'!$D$3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oleoproteagineux'!$D$4:$D$15</c:f>
              <c:numCache>
                <c:formatCode>0.00</c:formatCode>
                <c:ptCount val="12"/>
                <c:pt idx="0" formatCode="General">
                  <c:v>652.33000000000004</c:v>
                </c:pt>
                <c:pt idx="1">
                  <c:v>628.5</c:v>
                </c:pt>
                <c:pt idx="2">
                  <c:v>598.70000000000005</c:v>
                </c:pt>
                <c:pt idx="3">
                  <c:v>627.38</c:v>
                </c:pt>
                <c:pt idx="4">
                  <c:v>617</c:v>
                </c:pt>
                <c:pt idx="5">
                  <c:v>572.66999999999996</c:v>
                </c:pt>
                <c:pt idx="6">
                  <c:v>548.88</c:v>
                </c:pt>
                <c:pt idx="7">
                  <c:v>541.25</c:v>
                </c:pt>
                <c:pt idx="8">
                  <c:v>471.1</c:v>
                </c:pt>
                <c:pt idx="9">
                  <c:v>427.17</c:v>
                </c:pt>
                <c:pt idx="10">
                  <c:v>416.17</c:v>
                </c:pt>
                <c:pt idx="11">
                  <c:v>426.5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0-420C-BCF2-EA629605DEE3}"/>
            </c:ext>
          </c:extLst>
        </c:ser>
        <c:ser>
          <c:idx val="3"/>
          <c:order val="3"/>
          <c:tx>
            <c:strRef>
              <c:f>'Cotations oleoproteagineux'!$E$3</c:f>
              <c:strCache>
                <c:ptCount val="1"/>
                <c:pt idx="0">
                  <c:v>Evol. 2020/2021</c:v>
                </c:pt>
              </c:strCache>
            </c:strRef>
          </c:tx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oleoproteagineux'!$E$4:$E$15</c:f>
              <c:numCache>
                <c:formatCode>0%</c:formatCode>
                <c:ptCount val="12"/>
                <c:pt idx="0" formatCode="General">
                  <c:v>0.22235477826358552</c:v>
                </c:pt>
                <c:pt idx="1">
                  <c:v>0.12634408602150549</c:v>
                </c:pt>
                <c:pt idx="2">
                  <c:v>-8.7748344370860432E-3</c:v>
                </c:pt>
                <c:pt idx="3">
                  <c:v>-6.2737628384687216E-2</c:v>
                </c:pt>
                <c:pt idx="4">
                  <c:v>-0.11308097747963575</c:v>
                </c:pt>
                <c:pt idx="5">
                  <c:v>-0.16194634146341469</c:v>
                </c:pt>
                <c:pt idx="6">
                  <c:v>-0.25220708446866491</c:v>
                </c:pt>
                <c:pt idx="7">
                  <c:v>-0.25575799243726371</c:v>
                </c:pt>
                <c:pt idx="8">
                  <c:v>-0.48242144583607993</c:v>
                </c:pt>
                <c:pt idx="9">
                  <c:v>-0.57643034209221611</c:v>
                </c:pt>
                <c:pt idx="10">
                  <c:v>-0.50248655110579787</c:v>
                </c:pt>
                <c:pt idx="11">
                  <c:v>-0.426747311827957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80-420C-BCF2-EA629605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oleoproteagineux'!$B$20</c:f>
              <c:strCache>
                <c:ptCount val="1"/>
                <c:pt idx="0">
                  <c:v>Moyenne 2016-2020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oleoproteagineux'!$B$21:$B$32</c:f>
              <c:numCache>
                <c:formatCode>0.00</c:formatCode>
                <c:ptCount val="12"/>
                <c:pt idx="0" formatCode="General">
                  <c:v>357.16666666666663</c:v>
                </c:pt>
                <c:pt idx="1">
                  <c:v>365.6</c:v>
                </c:pt>
                <c:pt idx="2">
                  <c:v>374.05</c:v>
                </c:pt>
                <c:pt idx="3">
                  <c:v>392</c:v>
                </c:pt>
                <c:pt idx="4">
                  <c:v>404.65333333333331</c:v>
                </c:pt>
                <c:pt idx="5">
                  <c:v>401.5</c:v>
                </c:pt>
                <c:pt idx="6">
                  <c:v>414.3</c:v>
                </c:pt>
                <c:pt idx="7">
                  <c:v>423.9</c:v>
                </c:pt>
                <c:pt idx="8">
                  <c:v>514.38750000000005</c:v>
                </c:pt>
                <c:pt idx="9">
                  <c:v>455.9</c:v>
                </c:pt>
                <c:pt idx="10">
                  <c:v>458.5</c:v>
                </c:pt>
                <c:pt idx="11">
                  <c:v>430.25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138-B411-45927CC92666}"/>
            </c:ext>
          </c:extLst>
        </c:ser>
        <c:ser>
          <c:idx val="1"/>
          <c:order val="1"/>
          <c:tx>
            <c:strRef>
              <c:f>'Cotations oleoproteagineux'!$C$20</c:f>
              <c:strCache>
                <c:ptCount val="1"/>
                <c:pt idx="0">
                  <c:v>2020-2021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oleoproteagineux'!$C$21:$C$32</c:f>
              <c:numCache>
                <c:formatCode>0.00</c:formatCode>
                <c:ptCount val="12"/>
                <c:pt idx="0" formatCode="General">
                  <c:v>478.33333333333331</c:v>
                </c:pt>
                <c:pt idx="1">
                  <c:v>510</c:v>
                </c:pt>
                <c:pt idx="2">
                  <c:v>536</c:v>
                </c:pt>
                <c:pt idx="3">
                  <c:v>603.75</c:v>
                </c:pt>
                <c:pt idx="4">
                  <c:v>601.66666666666663</c:v>
                </c:pt>
                <c:pt idx="5">
                  <c:v>536.66666666666663</c:v>
                </c:pt>
                <c:pt idx="6">
                  <c:v>580</c:v>
                </c:pt>
                <c:pt idx="7">
                  <c:v>611.25</c:v>
                </c:pt>
                <c:pt idx="8">
                  <c:v>862</c:v>
                </c:pt>
                <c:pt idx="9">
                  <c:v>853.75</c:v>
                </c:pt>
                <c:pt idx="10">
                  <c:v>820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138-B411-45927CC92666}"/>
            </c:ext>
          </c:extLst>
        </c:ser>
        <c:ser>
          <c:idx val="2"/>
          <c:order val="2"/>
          <c:tx>
            <c:strRef>
              <c:f>'Cotations oleoproteagineux'!$D$20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oleoproteagineux'!$D$21:$D$32</c:f>
              <c:numCache>
                <c:formatCode>0.00</c:formatCode>
                <c:ptCount val="12"/>
                <c:pt idx="0" formatCode="General">
                  <c:v>636.66999999999996</c:v>
                </c:pt>
                <c:pt idx="1">
                  <c:v>642.5</c:v>
                </c:pt>
                <c:pt idx="2">
                  <c:v>585</c:v>
                </c:pt>
                <c:pt idx="3">
                  <c:v>639.38</c:v>
                </c:pt>
                <c:pt idx="4">
                  <c:v>635</c:v>
                </c:pt>
                <c:pt idx="5">
                  <c:v>578.33000000000004</c:v>
                </c:pt>
                <c:pt idx="6">
                  <c:v>562.5</c:v>
                </c:pt>
                <c:pt idx="7">
                  <c:v>560</c:v>
                </c:pt>
                <c:pt idx="8">
                  <c:v>477.5</c:v>
                </c:pt>
                <c:pt idx="9">
                  <c:v>458.13</c:v>
                </c:pt>
                <c:pt idx="10">
                  <c:v>431.67</c:v>
                </c:pt>
                <c:pt idx="11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138-B411-45927CC9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'Evol.sole-régionale_Blés'!$B$11:$X$11</c:f>
              <c:numCache>
                <c:formatCode>#\ ##0\ </c:formatCode>
                <c:ptCount val="23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#,##0">
                  <c:v>277.5</c:v>
                </c:pt>
                <c:pt idx="22" formatCode="General">
                  <c:v>243.4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'Evol.sole-régionale_Blés'!$B$12:$X$12</c:f>
              <c:numCache>
                <c:formatCode>#\ ##0\ </c:formatCode>
                <c:ptCount val="23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#,##0">
                  <c:v>95.5</c:v>
                </c:pt>
                <c:pt idx="22" formatCode="General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cat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2"/>
        <c:noMultiLvlLbl val="1"/>
      </c:cat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'Evol.sole-régionale_Blés'!$B$54:$O$54</c:f>
              <c:numCache>
                <c:formatCode>#\ ##0\ </c:formatCode>
                <c:ptCount val="14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 formatCode="General">
                  <c:v>29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'Evol.sole-régionale_Blés'!$B$55:$O$55</c:f>
              <c:numCache>
                <c:formatCode>#\ ##0\ </c:formatCode>
                <c:ptCount val="14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 formatCode="General">
                  <c:v>20</c:v>
                </c:pt>
                <c:pt idx="13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'Evol.sole-régionale_Blés'!$B$56:$O$56</c:f>
              <c:numCache>
                <c:formatCode>#\ ##0\ </c:formatCode>
                <c:ptCount val="14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 formatCode="General">
                  <c:v>11</c:v>
                </c:pt>
                <c:pt idx="13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'Evol.sole-régionale_Blés'!$B$57:$O$57</c:f>
              <c:numCache>
                <c:formatCode>#\ ##0\ </c:formatCode>
                <c:ptCount val="14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 formatCode="General">
                  <c:v>9</c:v>
                </c:pt>
                <c:pt idx="13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28575</xdr:colOff>
      <xdr:row>8</xdr:row>
      <xdr:rowOff>0</xdr:rowOff>
    </xdr:to>
    <xdr:sp macro="" textlink="" fLocksText="0">
      <xdr:nvSpPr>
        <xdr:cNvPr id="2" name="Images 1"/>
        <xdr:cNvSpPr>
          <a:spLocks noChangeArrowheads="1"/>
        </xdr:cNvSpPr>
      </xdr:nvSpPr>
      <xdr:spPr bwMode="auto">
        <a:xfrm>
          <a:off x="0" y="0"/>
          <a:ext cx="13432155" cy="135636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</a:t>
          </a:r>
          <a:r>
            <a:rPr lang="fr-F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Production de blé tendre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33,68Mt, Occitanie : 11°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Production de Blé dur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: 1,33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Production Tournesol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 France : 1,78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Production de Soja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 : 0,37 Mt Occitanie : 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2° rang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311402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170604</xdr:colOff>
      <xdr:row>43</xdr:row>
      <xdr:rowOff>25824</xdr:rowOff>
    </xdr:from>
    <xdr:to>
      <xdr:col>28</xdr:col>
      <xdr:colOff>460164</xdr:colOff>
      <xdr:row>61</xdr:row>
      <xdr:rowOff>117264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3"/>
  <sheetViews>
    <sheetView zoomScaleNormal="100" workbookViewId="0"/>
  </sheetViews>
  <sheetFormatPr baseColWidth="10" defaultColWidth="8.88671875" defaultRowHeight="13.2"/>
  <cols>
    <col min="1" max="10" width="10.88671875" style="1" customWidth="1"/>
    <col min="11" max="11" width="24.88671875" style="1" customWidth="1"/>
    <col min="12" max="16" width="10.88671875" style="1" customWidth="1"/>
    <col min="17" max="1023" width="10.6640625" style="1" customWidth="1"/>
    <col min="1024" max="1025" width="11.332031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6.8">
      <c r="A4" s="206" t="s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5"/>
      <c r="M4" s="5"/>
      <c r="N4" s="5"/>
      <c r="O4" s="5"/>
      <c r="P4" s="5"/>
    </row>
    <row r="6" spans="1:16" ht="16.8">
      <c r="A6" s="3" t="s">
        <v>2</v>
      </c>
    </row>
    <row r="7" spans="1:16" ht="16.8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6.8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6.8">
      <c r="A9" s="3" t="s">
        <v>4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6.8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6.8">
      <c r="A11" s="3" t="s">
        <v>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6.8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6.8">
      <c r="A13" s="3" t="s">
        <v>6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6.8">
      <c r="A14" s="3" t="s">
        <v>7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6.8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 ht="14.4">
      <c r="A16" s="9" t="s">
        <v>8</v>
      </c>
    </row>
    <row r="17" spans="1:16" ht="16.8">
      <c r="A17" s="10"/>
    </row>
    <row r="18" spans="1:16" ht="16.8">
      <c r="A18" s="10" t="s">
        <v>9</v>
      </c>
    </row>
    <row r="19" spans="1:16" ht="16.8">
      <c r="A19" s="3" t="s">
        <v>10</v>
      </c>
    </row>
    <row r="20" spans="1:16" ht="16.8">
      <c r="A20" s="3" t="s">
        <v>11</v>
      </c>
    </row>
    <row r="21" spans="1:16" ht="16.8">
      <c r="A21" s="3" t="s">
        <v>12</v>
      </c>
    </row>
    <row r="22" spans="1:16" ht="16.8">
      <c r="A22" s="3" t="s">
        <v>13</v>
      </c>
    </row>
    <row r="23" spans="1:16" ht="16.8">
      <c r="A23" s="3" t="s">
        <v>14</v>
      </c>
    </row>
    <row r="26" spans="1:16" ht="15.75" customHeight="1">
      <c r="A26" s="5"/>
      <c r="B26" s="2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8">
      <c r="A28" s="11" t="s">
        <v>16</v>
      </c>
    </row>
    <row r="29" spans="1:16" ht="16.8">
      <c r="A29" s="3" t="s">
        <v>17</v>
      </c>
    </row>
    <row r="31" spans="1:16" ht="15.75" customHeight="1">
      <c r="A31" s="2"/>
      <c r="B31" s="2" t="s">
        <v>18</v>
      </c>
    </row>
    <row r="32" spans="1:16" ht="16.8">
      <c r="A32" s="5"/>
    </row>
    <row r="33" spans="1:16" ht="16.8">
      <c r="A33" s="5" t="s">
        <v>19</v>
      </c>
    </row>
    <row r="34" spans="1:16" ht="16.8">
      <c r="A34" s="207" t="s">
        <v>20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5"/>
      <c r="M34" s="5"/>
      <c r="N34" s="5"/>
      <c r="O34" s="5"/>
      <c r="P34" s="5"/>
    </row>
    <row r="35" spans="1:16" ht="16.8">
      <c r="A35" s="12" t="s">
        <v>21</v>
      </c>
    </row>
    <row r="36" spans="1:16" ht="16.8">
      <c r="A36" s="208" t="s">
        <v>22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5"/>
      <c r="M36" s="5"/>
      <c r="N36" s="5"/>
      <c r="O36" s="5"/>
      <c r="P36" s="5"/>
    </row>
    <row r="37" spans="1:16" ht="16.8">
      <c r="A37" s="13" t="s">
        <v>23</v>
      </c>
    </row>
    <row r="38" spans="1:16" ht="16.8">
      <c r="A38" s="14"/>
    </row>
    <row r="39" spans="1:16" ht="14.4">
      <c r="A39" s="9" t="s">
        <v>24</v>
      </c>
    </row>
    <row r="40" spans="1:16" ht="16.8">
      <c r="A40" s="15" t="s">
        <v>25</v>
      </c>
    </row>
    <row r="41" spans="1:16" ht="16.8">
      <c r="A41" s="16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6.8">
      <c r="A42" s="15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6.8">
      <c r="A43" s="1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!production!A1" display="Calendrier des estimations de production"/>
    <hyperlink ref="A41" location="'GC_EstimProduction2020-2021'!A1" display="Estimations de production campagne"/>
    <hyperlink ref="A42" location="cotations_cereales!A1" display="Cotations des céréales"/>
    <hyperlink ref="A43" location="'Evol!sole-régionale_Blés'!A1" display="Evolution de la sole régionale des blés"/>
  </hyperlink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8671875" defaultRowHeight="13.2"/>
  <cols>
    <col min="1" max="1" width="24.88671875" style="1" customWidth="1"/>
    <col min="2" max="13" width="8.33203125" style="1" customWidth="1"/>
    <col min="14" max="1023" width="10.6640625" style="1" customWidth="1"/>
    <col min="1024" max="1025" width="11.33203125" style="1" customWidth="1"/>
  </cols>
  <sheetData>
    <row r="1" spans="1:13" ht="15" customHeight="1">
      <c r="A1" s="17" t="s">
        <v>29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6.8">
      <c r="A3" s="20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8">
      <c r="A4" s="21" t="s">
        <v>31</v>
      </c>
      <c r="B4" s="2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6.8">
      <c r="A5" s="22"/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42</v>
      </c>
      <c r="M5" s="23" t="s">
        <v>43</v>
      </c>
    </row>
    <row r="6" spans="1:13" ht="16.8">
      <c r="A6" s="24" t="s">
        <v>44</v>
      </c>
      <c r="B6" s="25"/>
      <c r="C6" s="26"/>
      <c r="D6" s="20"/>
      <c r="E6" s="26"/>
      <c r="F6" s="20"/>
      <c r="G6" s="26"/>
      <c r="H6" s="20"/>
      <c r="I6" s="27"/>
      <c r="J6" s="21"/>
      <c r="K6" s="27"/>
      <c r="L6" s="21"/>
      <c r="M6" s="27"/>
    </row>
    <row r="7" spans="1:13" ht="16.8">
      <c r="A7" s="18" t="s">
        <v>45</v>
      </c>
      <c r="B7" s="28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</row>
    <row r="8" spans="1:13" ht="16.8">
      <c r="A8" s="18" t="s">
        <v>46</v>
      </c>
      <c r="B8" s="26"/>
      <c r="C8" s="26"/>
      <c r="D8" s="20"/>
      <c r="E8" s="26"/>
      <c r="F8" s="20"/>
      <c r="G8" s="26"/>
      <c r="H8" s="20"/>
      <c r="I8" s="27"/>
      <c r="J8" s="21"/>
      <c r="K8" s="27"/>
      <c r="L8" s="21"/>
      <c r="M8" s="27"/>
    </row>
    <row r="9" spans="1:13" ht="16.8">
      <c r="A9" s="18" t="s">
        <v>47</v>
      </c>
      <c r="B9" s="28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</row>
    <row r="10" spans="1:13" ht="16.8">
      <c r="A10" s="18" t="s">
        <v>48</v>
      </c>
      <c r="B10" s="26"/>
      <c r="C10" s="26"/>
      <c r="D10" s="20"/>
      <c r="E10" s="26"/>
      <c r="F10" s="20"/>
      <c r="G10" s="26"/>
      <c r="H10" s="21"/>
      <c r="I10" s="27"/>
      <c r="J10" s="21"/>
      <c r="K10" s="27"/>
      <c r="L10" s="21"/>
      <c r="M10" s="27"/>
    </row>
    <row r="11" spans="1:13" ht="16.8">
      <c r="A11" s="18" t="s">
        <v>49</v>
      </c>
      <c r="B11" s="28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</row>
    <row r="12" spans="1:13" ht="16.8">
      <c r="A12" s="18" t="s">
        <v>50</v>
      </c>
      <c r="B12" s="26"/>
      <c r="C12" s="26"/>
      <c r="D12" s="20"/>
      <c r="E12" s="26"/>
      <c r="F12" s="20"/>
      <c r="G12" s="26"/>
      <c r="H12" s="20"/>
      <c r="I12" s="27"/>
      <c r="J12" s="21"/>
      <c r="K12" s="27"/>
      <c r="L12" s="21"/>
      <c r="M12" s="27"/>
    </row>
    <row r="13" spans="1:13" ht="16.8">
      <c r="A13" s="18" t="s">
        <v>51</v>
      </c>
      <c r="B13" s="28"/>
      <c r="C13" s="28"/>
      <c r="D13" s="19"/>
      <c r="E13" s="28"/>
      <c r="F13" s="19"/>
      <c r="G13" s="28"/>
      <c r="H13" s="19"/>
      <c r="I13" s="28"/>
      <c r="J13" s="19"/>
      <c r="K13" s="28"/>
      <c r="L13" s="19"/>
      <c r="M13" s="28"/>
    </row>
    <row r="14" spans="1:13" ht="16.8">
      <c r="A14" s="18" t="s">
        <v>52</v>
      </c>
      <c r="B14" s="26"/>
      <c r="C14" s="26"/>
      <c r="D14" s="20"/>
      <c r="E14" s="26"/>
      <c r="F14" s="20"/>
      <c r="G14" s="26"/>
      <c r="H14" s="20"/>
      <c r="I14" s="27"/>
      <c r="J14" s="21"/>
      <c r="K14" s="27"/>
      <c r="L14" s="21"/>
      <c r="M14" s="27"/>
    </row>
    <row r="15" spans="1:13" ht="16.8">
      <c r="A15" s="18" t="s">
        <v>53</v>
      </c>
      <c r="B15" s="26"/>
      <c r="C15" s="26"/>
      <c r="D15" s="20"/>
      <c r="E15" s="26"/>
      <c r="F15" s="20"/>
      <c r="G15" s="26"/>
      <c r="H15" s="20"/>
      <c r="I15" s="27"/>
      <c r="J15" s="21"/>
      <c r="K15" s="27"/>
      <c r="L15" s="21"/>
      <c r="M15" s="27"/>
    </row>
    <row r="16" spans="1:13" ht="16.8">
      <c r="A16" s="18" t="s">
        <v>54</v>
      </c>
      <c r="B16" s="28"/>
      <c r="C16" s="28"/>
      <c r="D16" s="19"/>
      <c r="E16" s="28"/>
      <c r="F16" s="19"/>
      <c r="G16" s="26"/>
      <c r="H16" s="20"/>
      <c r="I16" s="26"/>
      <c r="J16" s="21"/>
      <c r="K16" s="27"/>
      <c r="L16" s="21"/>
      <c r="M16" s="27"/>
    </row>
    <row r="17" spans="1:13" ht="16.8">
      <c r="A17" s="18" t="s">
        <v>55</v>
      </c>
      <c r="B17" s="28"/>
      <c r="C17" s="28"/>
      <c r="D17" s="19"/>
      <c r="E17" s="28"/>
      <c r="F17" s="19"/>
      <c r="G17" s="26"/>
      <c r="H17" s="20"/>
      <c r="I17" s="26"/>
      <c r="J17" s="21"/>
      <c r="K17" s="27"/>
      <c r="L17" s="21"/>
      <c r="M17" s="27"/>
    </row>
    <row r="18" spans="1:13" ht="16.8">
      <c r="A18" s="18" t="s">
        <v>56</v>
      </c>
      <c r="B18" s="26"/>
      <c r="C18" s="26"/>
      <c r="D18" s="20"/>
      <c r="E18" s="26"/>
      <c r="F18" s="20"/>
      <c r="G18" s="26"/>
      <c r="H18" s="21"/>
      <c r="I18" s="27"/>
      <c r="J18" s="21"/>
      <c r="K18" s="27"/>
      <c r="L18" s="21"/>
      <c r="M18" s="27"/>
    </row>
    <row r="19" spans="1:13" ht="16.8">
      <c r="A19" s="18" t="s">
        <v>57</v>
      </c>
      <c r="B19" s="28"/>
      <c r="C19" s="28"/>
      <c r="D19" s="19"/>
      <c r="E19" s="28"/>
      <c r="F19" s="19"/>
      <c r="G19" s="28"/>
      <c r="H19" s="19"/>
      <c r="I19" s="28"/>
      <c r="J19" s="19"/>
      <c r="K19" s="28"/>
      <c r="L19" s="19"/>
      <c r="M19" s="28"/>
    </row>
    <row r="20" spans="1:13" ht="16.8">
      <c r="A20" s="18" t="s">
        <v>58</v>
      </c>
      <c r="B20" s="28"/>
      <c r="C20" s="28"/>
      <c r="D20" s="19"/>
      <c r="E20" s="28"/>
      <c r="F20" s="19"/>
      <c r="G20" s="26"/>
      <c r="H20" s="20"/>
      <c r="I20" s="26"/>
      <c r="J20" s="21"/>
      <c r="K20" s="27"/>
      <c r="L20" s="21"/>
      <c r="M20" s="27"/>
    </row>
    <row r="21" spans="1:13" ht="16.8">
      <c r="A21" s="18" t="s">
        <v>59</v>
      </c>
      <c r="B21" s="28"/>
      <c r="C21" s="28"/>
      <c r="D21" s="19"/>
      <c r="E21" s="28"/>
      <c r="F21" s="19"/>
      <c r="G21" s="26"/>
      <c r="H21" s="20"/>
      <c r="I21" s="26"/>
      <c r="J21" s="21"/>
      <c r="K21" s="27"/>
      <c r="L21" s="21"/>
      <c r="M21" s="27"/>
    </row>
    <row r="22" spans="1:13" ht="16.8">
      <c r="A22" s="18" t="s">
        <v>60</v>
      </c>
      <c r="B22" s="28"/>
      <c r="C22" s="28"/>
      <c r="D22" s="19"/>
      <c r="E22" s="28"/>
      <c r="F22" s="20"/>
      <c r="G22" s="26"/>
      <c r="H22" s="20"/>
      <c r="I22" s="27"/>
      <c r="J22" s="21"/>
      <c r="K22" s="27"/>
      <c r="L22" s="21"/>
      <c r="M22" s="27"/>
    </row>
    <row r="23" spans="1:13" ht="16.8">
      <c r="A23" s="18" t="s">
        <v>61</v>
      </c>
      <c r="B23" s="28"/>
      <c r="C23" s="28"/>
      <c r="D23" s="19"/>
      <c r="E23" s="28"/>
      <c r="F23" s="20"/>
      <c r="G23" s="26"/>
      <c r="H23" s="20"/>
      <c r="I23" s="27"/>
      <c r="J23" s="21"/>
      <c r="K23" s="27"/>
      <c r="L23" s="21"/>
      <c r="M23" s="27"/>
    </row>
    <row r="24" spans="1:13" ht="16.8">
      <c r="A24" s="18" t="s">
        <v>62</v>
      </c>
      <c r="B24" s="28"/>
      <c r="C24" s="28"/>
      <c r="D24" s="19"/>
      <c r="E24" s="28"/>
      <c r="F24" s="20"/>
      <c r="G24" s="26"/>
      <c r="H24" s="20"/>
      <c r="I24" s="27"/>
      <c r="J24" s="21"/>
      <c r="K24" s="27"/>
      <c r="L24" s="21"/>
      <c r="M24" s="27"/>
    </row>
    <row r="25" spans="1:13" ht="16.8">
      <c r="A25" s="18" t="s">
        <v>63</v>
      </c>
      <c r="B25" s="28"/>
      <c r="C25" s="28"/>
      <c r="D25" s="19"/>
      <c r="E25" s="28"/>
      <c r="F25" s="19"/>
      <c r="G25" s="28"/>
      <c r="H25" s="19"/>
      <c r="I25" s="28"/>
      <c r="J25" s="19"/>
      <c r="K25" s="28"/>
      <c r="L25" s="19"/>
      <c r="M25" s="28"/>
    </row>
    <row r="26" spans="1:13" ht="16.8">
      <c r="A26" s="18" t="s">
        <v>64</v>
      </c>
      <c r="B26" s="28"/>
      <c r="C26" s="28"/>
      <c r="D26" s="19"/>
      <c r="E26" s="28"/>
      <c r="F26" s="19"/>
      <c r="G26" s="28"/>
      <c r="H26" s="19"/>
      <c r="I26" s="28"/>
      <c r="J26" s="19"/>
      <c r="K26" s="28"/>
      <c r="L26" s="19"/>
      <c r="M26" s="28"/>
    </row>
    <row r="27" spans="1:13" ht="16.8">
      <c r="A27" s="29" t="s">
        <v>65</v>
      </c>
      <c r="B27" s="30"/>
      <c r="C27" s="30"/>
      <c r="D27" s="22"/>
      <c r="E27" s="30"/>
      <c r="F27" s="22"/>
      <c r="G27" s="31"/>
      <c r="H27" s="32"/>
      <c r="I27" s="31"/>
      <c r="J27" s="32"/>
      <c r="K27" s="31"/>
      <c r="L27" s="32"/>
      <c r="M27" s="31"/>
    </row>
    <row r="28" spans="1:13" ht="16.8">
      <c r="A28" s="19"/>
      <c r="B28" s="19"/>
      <c r="C28" s="19"/>
      <c r="D28" s="19"/>
      <c r="E28" s="19"/>
      <c r="F28" s="19"/>
      <c r="G28" s="33" t="s">
        <v>66</v>
      </c>
      <c r="H28" s="19"/>
      <c r="I28" s="19"/>
      <c r="J28" s="19"/>
      <c r="K28" s="19"/>
      <c r="L28" s="19"/>
      <c r="M28" s="19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topLeftCell="A4" zoomScale="112" zoomScaleNormal="112" workbookViewId="0">
      <selection activeCell="Q42" sqref="Q42"/>
    </sheetView>
  </sheetViews>
  <sheetFormatPr baseColWidth="10" defaultColWidth="11.5546875" defaultRowHeight="13.2"/>
  <cols>
    <col min="1" max="1" width="17" style="160" customWidth="1"/>
    <col min="2" max="2" width="10.44140625" style="160" customWidth="1"/>
    <col min="3" max="4" width="9.44140625" style="160" customWidth="1"/>
    <col min="5" max="5" width="10.44140625" style="160" customWidth="1"/>
    <col min="6" max="6" width="10.33203125" style="160" customWidth="1"/>
    <col min="7" max="7" width="9.44140625" style="160" customWidth="1"/>
    <col min="8" max="8" width="9.6640625" style="160" customWidth="1"/>
    <col min="9" max="9" width="9.33203125" style="160" customWidth="1"/>
    <col min="10" max="10" width="10.33203125" style="160" customWidth="1"/>
    <col min="11" max="11" width="9.44140625" style="160" customWidth="1"/>
    <col min="12" max="12" width="10" style="160" customWidth="1"/>
    <col min="13" max="13" width="9.5546875" style="160" customWidth="1"/>
    <col min="14" max="14" width="14" style="160" customWidth="1"/>
    <col min="15" max="15" width="11.109375" style="160" bestFit="1" customWidth="1"/>
    <col min="16" max="16" width="19.5546875" style="160" customWidth="1"/>
    <col min="17" max="17" width="16.5546875" style="160" bestFit="1" customWidth="1"/>
    <col min="18" max="18" width="13.109375" style="160" customWidth="1"/>
    <col min="19" max="19" width="4.109375" style="160" customWidth="1"/>
    <col min="20" max="20" width="13.5546875" style="160" customWidth="1"/>
    <col min="21" max="16384" width="11.5546875" style="160"/>
  </cols>
  <sheetData>
    <row r="1" spans="1:22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P1" s="163"/>
    </row>
    <row r="2" spans="1:22">
      <c r="A2" s="161" t="s">
        <v>66</v>
      </c>
      <c r="P2" s="163"/>
    </row>
    <row r="3" spans="1:22">
      <c r="A3" s="161"/>
      <c r="P3" s="163"/>
    </row>
    <row r="4" spans="1:22">
      <c r="A4" s="161"/>
      <c r="P4" s="163"/>
    </row>
    <row r="5" spans="1:22">
      <c r="A5" s="161"/>
      <c r="P5" s="163"/>
    </row>
    <row r="6" spans="1:22">
      <c r="A6" s="161"/>
      <c r="P6" s="163"/>
    </row>
    <row r="7" spans="1:22" ht="13.8">
      <c r="B7" s="164"/>
      <c r="C7" s="164"/>
      <c r="D7" s="164"/>
      <c r="E7" s="165"/>
      <c r="F7" s="165"/>
      <c r="G7" s="165"/>
      <c r="H7" s="165"/>
      <c r="I7" s="165"/>
      <c r="J7" s="165"/>
      <c r="K7" s="166"/>
      <c r="L7" s="166"/>
      <c r="M7" s="166"/>
      <c r="N7" s="166"/>
      <c r="O7" s="166"/>
      <c r="P7" s="166"/>
      <c r="Q7" s="166"/>
      <c r="T7" s="167"/>
    </row>
    <row r="8" spans="1:22" ht="13.8">
      <c r="B8" s="164"/>
      <c r="C8" s="164"/>
      <c r="D8" s="164"/>
      <c r="E8" s="165"/>
      <c r="F8" s="165"/>
      <c r="G8" s="165"/>
      <c r="H8" s="165"/>
      <c r="I8" s="165"/>
      <c r="J8" s="165"/>
      <c r="K8" s="166"/>
      <c r="L8" s="166"/>
      <c r="M8" s="166"/>
      <c r="N8" s="166"/>
      <c r="O8" s="166"/>
      <c r="P8" s="166"/>
      <c r="Q8" s="166"/>
      <c r="T8" s="167"/>
    </row>
    <row r="9" spans="1:22" ht="15.6">
      <c r="A9" s="34" t="s">
        <v>157</v>
      </c>
      <c r="B9" s="37"/>
      <c r="C9" s="37"/>
      <c r="D9" s="37"/>
      <c r="E9" s="37"/>
      <c r="F9" s="37"/>
      <c r="G9" s="165"/>
      <c r="H9" s="165"/>
      <c r="I9" s="165"/>
      <c r="J9" s="165"/>
      <c r="K9" s="166"/>
      <c r="L9" s="166"/>
      <c r="M9" s="166"/>
      <c r="N9" s="166"/>
      <c r="O9" s="166"/>
      <c r="P9" s="166"/>
      <c r="Q9" s="166"/>
      <c r="T9" s="167"/>
    </row>
    <row r="10" spans="1:22" ht="14.25" customHeight="1">
      <c r="A10" s="38" t="s">
        <v>67</v>
      </c>
      <c r="B10" s="37"/>
      <c r="C10" s="37"/>
      <c r="D10" s="37"/>
      <c r="E10" s="37"/>
      <c r="F10" s="37"/>
      <c r="G10" s="168"/>
      <c r="H10" s="168"/>
      <c r="I10" s="168"/>
      <c r="J10" s="168"/>
      <c r="K10" s="166"/>
      <c r="L10" s="166"/>
      <c r="M10" s="166"/>
      <c r="N10" s="166"/>
      <c r="O10" s="166"/>
      <c r="P10" s="166"/>
      <c r="Q10" s="166"/>
      <c r="T10" s="39"/>
      <c r="U10" s="36"/>
      <c r="V10" s="36"/>
    </row>
    <row r="11" spans="1:22" ht="14.25" customHeight="1">
      <c r="A11" s="37"/>
      <c r="B11" s="37"/>
      <c r="C11" s="37"/>
      <c r="D11" s="37"/>
      <c r="E11" s="37"/>
      <c r="F11" s="37"/>
      <c r="G11" s="168"/>
      <c r="H11" s="168"/>
      <c r="I11" s="168"/>
      <c r="J11" s="168"/>
      <c r="K11" s="166"/>
      <c r="L11" s="166"/>
      <c r="M11" s="166"/>
      <c r="N11" s="166"/>
      <c r="O11" s="166"/>
      <c r="P11" s="166"/>
      <c r="Q11" s="166"/>
      <c r="T11" s="39" t="s">
        <v>68</v>
      </c>
    </row>
    <row r="12" spans="1:22" ht="12" customHeight="1">
      <c r="A12" s="35" t="s">
        <v>155</v>
      </c>
      <c r="B12" s="37"/>
      <c r="C12" s="37"/>
      <c r="D12" s="37"/>
      <c r="E12" s="37"/>
      <c r="F12" s="37"/>
      <c r="G12" s="168"/>
      <c r="H12" s="168"/>
      <c r="I12" s="168"/>
      <c r="J12" s="168"/>
      <c r="K12" s="166"/>
      <c r="L12" s="166"/>
      <c r="M12" s="166"/>
      <c r="N12" s="166"/>
      <c r="O12" s="166"/>
      <c r="P12" s="166"/>
      <c r="Q12" s="166"/>
      <c r="R12" s="169"/>
      <c r="S12" s="169"/>
      <c r="T12" s="211" t="s">
        <v>148</v>
      </c>
      <c r="U12" s="211"/>
      <c r="V12" s="211"/>
    </row>
    <row r="13" spans="1:22" ht="59.25" customHeight="1">
      <c r="A13" s="40" t="s">
        <v>128</v>
      </c>
      <c r="B13" s="41"/>
      <c r="C13" s="42" t="s">
        <v>69</v>
      </c>
      <c r="D13" s="43" t="s">
        <v>70</v>
      </c>
      <c r="E13" s="43" t="s">
        <v>71</v>
      </c>
      <c r="F13" s="43" t="s">
        <v>72</v>
      </c>
      <c r="G13" s="43" t="s">
        <v>73</v>
      </c>
      <c r="H13" s="43" t="s">
        <v>74</v>
      </c>
      <c r="I13" s="43" t="s">
        <v>75</v>
      </c>
      <c r="J13" s="43" t="s">
        <v>76</v>
      </c>
      <c r="K13" s="44" t="s">
        <v>77</v>
      </c>
      <c r="L13" s="45" t="s">
        <v>78</v>
      </c>
      <c r="M13" s="45" t="s">
        <v>79</v>
      </c>
      <c r="N13" s="45" t="s">
        <v>80</v>
      </c>
      <c r="O13" s="46" t="s">
        <v>81</v>
      </c>
      <c r="P13" s="47" t="s">
        <v>149</v>
      </c>
      <c r="Q13" s="170"/>
      <c r="T13" s="48" t="s">
        <v>129</v>
      </c>
      <c r="U13" s="49" t="s">
        <v>82</v>
      </c>
      <c r="V13" s="49" t="s">
        <v>83</v>
      </c>
    </row>
    <row r="14" spans="1:22" ht="15" customHeight="1">
      <c r="A14" s="209" t="s">
        <v>130</v>
      </c>
      <c r="B14" s="50" t="s">
        <v>84</v>
      </c>
      <c r="C14" s="231">
        <v>7040</v>
      </c>
      <c r="D14" s="232">
        <v>15640</v>
      </c>
      <c r="E14" s="232">
        <v>48100</v>
      </c>
      <c r="F14" s="232">
        <v>82770</v>
      </c>
      <c r="G14" s="232">
        <v>8760</v>
      </c>
      <c r="H14" s="232">
        <v>5010</v>
      </c>
      <c r="I14" s="232">
        <v>41260</v>
      </c>
      <c r="J14" s="233">
        <v>36235</v>
      </c>
      <c r="K14" s="234">
        <v>8325</v>
      </c>
      <c r="L14" s="235">
        <v>2150</v>
      </c>
      <c r="M14" s="235">
        <v>3420</v>
      </c>
      <c r="N14" s="236">
        <v>2450</v>
      </c>
      <c r="O14" s="237">
        <v>261160</v>
      </c>
      <c r="P14" s="59">
        <v>7.2767976339624951E-2</v>
      </c>
      <c r="Q14" s="199"/>
      <c r="R14" s="200"/>
      <c r="T14" s="229">
        <f>U14+V14</f>
        <v>243445</v>
      </c>
      <c r="U14" s="230">
        <v>227495</v>
      </c>
      <c r="V14" s="230">
        <v>15950</v>
      </c>
    </row>
    <row r="15" spans="1:22" ht="13.5" customHeight="1">
      <c r="A15" s="209"/>
      <c r="B15" s="51" t="s">
        <v>154</v>
      </c>
      <c r="C15" s="52">
        <v>46</v>
      </c>
      <c r="D15" s="53">
        <v>43.874680306905397</v>
      </c>
      <c r="E15" s="53">
        <v>49.989604989604999</v>
      </c>
      <c r="F15" s="53">
        <v>59.967379485320798</v>
      </c>
      <c r="G15" s="53">
        <v>45.9794520547945</v>
      </c>
      <c r="H15" s="53">
        <v>62</v>
      </c>
      <c r="I15" s="53">
        <v>49.995637421231201</v>
      </c>
      <c r="J15" s="53">
        <v>59.988408996826301</v>
      </c>
      <c r="K15" s="54">
        <v>49.902702702702697</v>
      </c>
      <c r="L15" s="55">
        <v>34.693023255813998</v>
      </c>
      <c r="M15" s="55">
        <v>24.871345029239802</v>
      </c>
      <c r="N15" s="55">
        <v>37.157142857142901</v>
      </c>
      <c r="O15" s="56">
        <v>53.584258691989596</v>
      </c>
      <c r="P15" s="202">
        <f>O15-T15</f>
        <v>9.5842586919895965</v>
      </c>
      <c r="Q15" s="199"/>
      <c r="R15" s="200"/>
      <c r="T15" s="58">
        <v>44</v>
      </c>
      <c r="U15" s="58"/>
      <c r="V15" s="58"/>
    </row>
    <row r="16" spans="1:22" ht="15" customHeight="1">
      <c r="A16" s="209" t="s">
        <v>131</v>
      </c>
      <c r="B16" s="50" t="s">
        <v>84</v>
      </c>
      <c r="C16" s="231">
        <v>1500</v>
      </c>
      <c r="D16" s="232">
        <v>520</v>
      </c>
      <c r="E16" s="232">
        <v>29000</v>
      </c>
      <c r="F16" s="232">
        <v>11600</v>
      </c>
      <c r="G16" s="232">
        <v>150</v>
      </c>
      <c r="H16" s="232">
        <v>15</v>
      </c>
      <c r="I16" s="232">
        <v>7445</v>
      </c>
      <c r="J16" s="233">
        <v>1620</v>
      </c>
      <c r="K16" s="234">
        <v>19535</v>
      </c>
      <c r="L16" s="235">
        <v>8720</v>
      </c>
      <c r="M16" s="235">
        <v>5430</v>
      </c>
      <c r="N16" s="235">
        <v>280</v>
      </c>
      <c r="O16" s="237">
        <v>85815</v>
      </c>
      <c r="P16" s="59">
        <v>5.3303655107779235E-3</v>
      </c>
      <c r="Q16" s="199"/>
      <c r="R16" s="200"/>
      <c r="T16" s="229">
        <f>U16+V16</f>
        <v>85360</v>
      </c>
      <c r="U16" s="230">
        <v>51055</v>
      </c>
      <c r="V16" s="230">
        <v>34305</v>
      </c>
    </row>
    <row r="17" spans="1:22" ht="13.5" customHeight="1">
      <c r="A17" s="209"/>
      <c r="B17" s="51" t="s">
        <v>154</v>
      </c>
      <c r="C17" s="52">
        <v>42</v>
      </c>
      <c r="D17" s="53">
        <v>37.403846153846203</v>
      </c>
      <c r="E17" s="53">
        <v>46.991379310344797</v>
      </c>
      <c r="F17" s="53">
        <v>50.948275862069003</v>
      </c>
      <c r="G17" s="53">
        <v>47</v>
      </c>
      <c r="H17" s="53">
        <v>46</v>
      </c>
      <c r="I17" s="53">
        <v>45.868368032236397</v>
      </c>
      <c r="J17" s="53">
        <v>46.870370370370402</v>
      </c>
      <c r="K17" s="54">
        <v>37.955208599948797</v>
      </c>
      <c r="L17" s="55">
        <v>33.9071100917431</v>
      </c>
      <c r="M17" s="55">
        <v>19.9742173112339</v>
      </c>
      <c r="N17" s="55">
        <v>14.5</v>
      </c>
      <c r="O17" s="56">
        <v>42.0789489017072</v>
      </c>
      <c r="P17" s="201">
        <f>O17-T17</f>
        <v>7.8948901707200037E-2</v>
      </c>
      <c r="Q17" s="199"/>
      <c r="R17" s="200"/>
      <c r="T17" s="58">
        <v>42</v>
      </c>
      <c r="U17" s="58"/>
      <c r="V17" s="58"/>
    </row>
    <row r="18" spans="1:22" ht="15" customHeight="1">
      <c r="A18" s="209" t="s">
        <v>132</v>
      </c>
      <c r="B18" s="50" t="s">
        <v>84</v>
      </c>
      <c r="C18" s="231">
        <v>30</v>
      </c>
      <c r="D18" s="232">
        <v>1300</v>
      </c>
      <c r="E18" s="232">
        <v>275</v>
      </c>
      <c r="F18" s="232">
        <v>100</v>
      </c>
      <c r="G18" s="232">
        <v>100</v>
      </c>
      <c r="H18" s="232">
        <v>40</v>
      </c>
      <c r="I18" s="232">
        <v>270</v>
      </c>
      <c r="J18" s="233">
        <v>110</v>
      </c>
      <c r="K18" s="234">
        <v>110</v>
      </c>
      <c r="L18" s="235">
        <v>45</v>
      </c>
      <c r="M18" s="235">
        <v>50</v>
      </c>
      <c r="N18" s="235">
        <v>2935</v>
      </c>
      <c r="O18" s="237">
        <v>5365</v>
      </c>
      <c r="P18" s="59">
        <v>2.385496183206115E-2</v>
      </c>
      <c r="Q18" s="199"/>
      <c r="R18" s="200"/>
      <c r="T18" s="229">
        <f>U18+V18</f>
        <v>5240</v>
      </c>
      <c r="U18" s="230">
        <v>2210</v>
      </c>
      <c r="V18" s="230">
        <v>3030</v>
      </c>
    </row>
    <row r="19" spans="1:22" ht="13.5" customHeight="1">
      <c r="A19" s="209"/>
      <c r="B19" s="51" t="s">
        <v>154</v>
      </c>
      <c r="C19" s="52">
        <v>28</v>
      </c>
      <c r="D19" s="53">
        <v>36</v>
      </c>
      <c r="E19" s="53">
        <v>28</v>
      </c>
      <c r="F19" s="53">
        <v>42</v>
      </c>
      <c r="G19" s="53">
        <v>37</v>
      </c>
      <c r="H19" s="53">
        <v>35</v>
      </c>
      <c r="I19" s="53">
        <v>37</v>
      </c>
      <c r="J19" s="53">
        <v>36</v>
      </c>
      <c r="K19" s="54">
        <v>32</v>
      </c>
      <c r="L19" s="55">
        <v>28</v>
      </c>
      <c r="M19" s="55">
        <v>25</v>
      </c>
      <c r="N19" s="55">
        <v>28.756388415672902</v>
      </c>
      <c r="O19" s="56">
        <v>31.504193849021402</v>
      </c>
      <c r="P19" s="201">
        <f>O19-T19</f>
        <v>9.5041938490214015</v>
      </c>
      <c r="Q19" s="199"/>
      <c r="R19" s="200"/>
      <c r="T19" s="58">
        <v>22</v>
      </c>
      <c r="U19" s="58"/>
      <c r="V19" s="58"/>
    </row>
    <row r="20" spans="1:22" ht="15" customHeight="1">
      <c r="A20" s="209" t="s">
        <v>133</v>
      </c>
      <c r="B20" s="50" t="s">
        <v>84</v>
      </c>
      <c r="C20" s="231">
        <v>2110</v>
      </c>
      <c r="D20" s="232">
        <v>21100</v>
      </c>
      <c r="E20" s="232">
        <v>13450</v>
      </c>
      <c r="F20" s="232">
        <v>15100</v>
      </c>
      <c r="G20" s="232">
        <v>6730</v>
      </c>
      <c r="H20" s="232">
        <v>1530</v>
      </c>
      <c r="I20" s="232">
        <v>21000</v>
      </c>
      <c r="J20" s="233">
        <v>9200</v>
      </c>
      <c r="K20" s="234">
        <v>5760</v>
      </c>
      <c r="L20" s="235">
        <v>1755</v>
      </c>
      <c r="M20" s="235">
        <v>1705</v>
      </c>
      <c r="N20" s="235">
        <v>2355</v>
      </c>
      <c r="O20" s="237">
        <v>101795</v>
      </c>
      <c r="P20" s="59">
        <v>6.9724674232870987E-2</v>
      </c>
      <c r="Q20" s="199"/>
      <c r="R20" s="200"/>
      <c r="T20" s="229">
        <f>U20+V20</f>
        <v>95160</v>
      </c>
      <c r="U20" s="230">
        <v>84480</v>
      </c>
      <c r="V20" s="230">
        <v>10680</v>
      </c>
    </row>
    <row r="21" spans="1:22" ht="18.75" customHeight="1">
      <c r="A21" s="209"/>
      <c r="B21" s="51" t="s">
        <v>154</v>
      </c>
      <c r="C21" s="52">
        <v>44</v>
      </c>
      <c r="D21" s="53">
        <v>44</v>
      </c>
      <c r="E21" s="53">
        <v>46</v>
      </c>
      <c r="F21" s="53">
        <v>5</v>
      </c>
      <c r="G21" s="53">
        <v>48</v>
      </c>
      <c r="H21" s="53">
        <v>60</v>
      </c>
      <c r="I21" s="53">
        <v>48</v>
      </c>
      <c r="J21" s="53">
        <v>59</v>
      </c>
      <c r="K21" s="54">
        <v>47</v>
      </c>
      <c r="L21" s="55">
        <v>34</v>
      </c>
      <c r="M21" s="55">
        <v>27</v>
      </c>
      <c r="N21" s="55">
        <v>37.152866242038201</v>
      </c>
      <c r="O21" s="56">
        <v>40.719092293334597</v>
      </c>
      <c r="P21" s="202">
        <f>O21-T21</f>
        <v>0.71909229333459734</v>
      </c>
      <c r="Q21" s="199"/>
      <c r="R21" s="200"/>
      <c r="T21" s="58">
        <v>40</v>
      </c>
      <c r="U21" s="58"/>
      <c r="V21" s="58"/>
    </row>
    <row r="22" spans="1:22" ht="18.75" customHeight="1">
      <c r="A22" s="209" t="s">
        <v>134</v>
      </c>
      <c r="B22" s="50" t="s">
        <v>84</v>
      </c>
      <c r="C22" s="238">
        <v>140</v>
      </c>
      <c r="D22" s="239">
        <v>620</v>
      </c>
      <c r="E22" s="239">
        <v>2000</v>
      </c>
      <c r="F22" s="239">
        <v>2200</v>
      </c>
      <c r="G22" s="239">
        <v>500</v>
      </c>
      <c r="H22" s="239">
        <v>65</v>
      </c>
      <c r="I22" s="239">
        <v>1180</v>
      </c>
      <c r="J22" s="239">
        <v>790</v>
      </c>
      <c r="K22" s="240">
        <v>645</v>
      </c>
      <c r="L22" s="241">
        <v>820</v>
      </c>
      <c r="M22" s="241">
        <v>390</v>
      </c>
      <c r="N22" s="241">
        <v>655</v>
      </c>
      <c r="O22" s="242">
        <v>10005</v>
      </c>
      <c r="P22" s="59">
        <v>-3.7518037518037506E-2</v>
      </c>
      <c r="Q22" s="199"/>
      <c r="R22" s="200"/>
      <c r="T22" s="229">
        <f>U22+V22</f>
        <v>10395</v>
      </c>
      <c r="U22" s="230">
        <v>7995</v>
      </c>
      <c r="V22" s="230">
        <v>2400</v>
      </c>
    </row>
    <row r="23" spans="1:22" ht="18.75" customHeight="1">
      <c r="A23" s="209"/>
      <c r="B23" s="51" t="s">
        <v>154</v>
      </c>
      <c r="C23" s="52">
        <v>41</v>
      </c>
      <c r="D23" s="53">
        <v>33</v>
      </c>
      <c r="E23" s="53">
        <v>40</v>
      </c>
      <c r="F23" s="53">
        <v>40</v>
      </c>
      <c r="G23" s="53">
        <v>40</v>
      </c>
      <c r="H23" s="53">
        <v>40</v>
      </c>
      <c r="I23" s="53">
        <v>38</v>
      </c>
      <c r="J23" s="53">
        <v>40</v>
      </c>
      <c r="K23" s="54">
        <v>38</v>
      </c>
      <c r="L23" s="55">
        <v>31</v>
      </c>
      <c r="M23" s="55">
        <v>23</v>
      </c>
      <c r="N23" s="55">
        <v>32.984732824427503</v>
      </c>
      <c r="O23" s="56">
        <v>37.355822088955499</v>
      </c>
      <c r="P23" s="202">
        <f>O23-T23</f>
        <v>7.3558220889554988</v>
      </c>
      <c r="Q23" s="199"/>
      <c r="R23" s="200"/>
      <c r="T23" s="58">
        <v>30</v>
      </c>
      <c r="U23" s="58"/>
      <c r="V23" s="58"/>
    </row>
    <row r="24" spans="1:22" ht="15" customHeight="1">
      <c r="A24" s="209" t="s">
        <v>135</v>
      </c>
      <c r="B24" s="50" t="s">
        <v>84</v>
      </c>
      <c r="C24" s="231">
        <v>250</v>
      </c>
      <c r="D24" s="232">
        <v>890</v>
      </c>
      <c r="E24" s="232">
        <v>840</v>
      </c>
      <c r="F24" s="232">
        <v>1500</v>
      </c>
      <c r="G24" s="232">
        <v>600</v>
      </c>
      <c r="H24" s="232">
        <v>230</v>
      </c>
      <c r="I24" s="232">
        <v>300</v>
      </c>
      <c r="J24" s="233">
        <v>400</v>
      </c>
      <c r="K24" s="234">
        <v>340</v>
      </c>
      <c r="L24" s="235">
        <v>80</v>
      </c>
      <c r="M24" s="235">
        <v>115</v>
      </c>
      <c r="N24" s="235">
        <v>835</v>
      </c>
      <c r="O24" s="237">
        <v>6380</v>
      </c>
      <c r="P24" s="59">
        <v>-0.33920248575867429</v>
      </c>
      <c r="Q24" s="199"/>
      <c r="R24" s="200"/>
      <c r="T24" s="229">
        <f>U24+V24</f>
        <v>9655</v>
      </c>
      <c r="U24" s="230">
        <v>6395</v>
      </c>
      <c r="V24" s="230">
        <v>3260</v>
      </c>
    </row>
    <row r="25" spans="1:22" ht="13.5" customHeight="1">
      <c r="A25" s="209"/>
      <c r="B25" s="51" t="s">
        <v>154</v>
      </c>
      <c r="C25" s="153">
        <v>28.36</v>
      </c>
      <c r="D25" s="154">
        <v>22.382022471910101</v>
      </c>
      <c r="E25" s="154">
        <v>27</v>
      </c>
      <c r="F25" s="154">
        <v>32</v>
      </c>
      <c r="G25" s="154">
        <v>25.6666666666667</v>
      </c>
      <c r="H25" s="154">
        <v>29.826086956521699</v>
      </c>
      <c r="I25" s="154">
        <v>32</v>
      </c>
      <c r="J25" s="154">
        <v>31.2</v>
      </c>
      <c r="K25" s="155">
        <v>36.338235294117602</v>
      </c>
      <c r="L25" s="156">
        <v>22</v>
      </c>
      <c r="M25" s="156">
        <v>19.086956521739101</v>
      </c>
      <c r="N25" s="156">
        <v>32.161676646706603</v>
      </c>
      <c r="O25" s="157">
        <v>29.027429467084598</v>
      </c>
      <c r="P25" s="203">
        <f>O25-T25</f>
        <v>5.0274294670845983</v>
      </c>
      <c r="Q25" s="199"/>
      <c r="R25" s="200"/>
      <c r="T25" s="58">
        <v>24</v>
      </c>
      <c r="U25" s="58"/>
      <c r="V25" s="58"/>
    </row>
    <row r="26" spans="1:22" ht="15" customHeight="1">
      <c r="A26" s="209" t="s">
        <v>136</v>
      </c>
      <c r="B26" s="50" t="s">
        <v>84</v>
      </c>
      <c r="C26" s="231">
        <v>900</v>
      </c>
      <c r="D26" s="232">
        <v>7500</v>
      </c>
      <c r="E26" s="232">
        <v>2500</v>
      </c>
      <c r="F26" s="232">
        <v>6520</v>
      </c>
      <c r="G26" s="232">
        <v>2040</v>
      </c>
      <c r="H26" s="232">
        <v>2500</v>
      </c>
      <c r="I26" s="232">
        <v>6500</v>
      </c>
      <c r="J26" s="233">
        <v>2350</v>
      </c>
      <c r="K26" s="234">
        <v>655</v>
      </c>
      <c r="L26" s="235">
        <v>150</v>
      </c>
      <c r="M26" s="235">
        <v>320</v>
      </c>
      <c r="N26" s="235">
        <v>3435</v>
      </c>
      <c r="O26" s="237">
        <v>35370</v>
      </c>
      <c r="P26" s="59">
        <v>2.2993492407809013E-2</v>
      </c>
      <c r="Q26" s="199"/>
      <c r="R26" s="200"/>
      <c r="T26" s="229">
        <f>U26+V26</f>
        <v>34575</v>
      </c>
      <c r="U26" s="230">
        <v>29620</v>
      </c>
      <c r="V26" s="230">
        <v>4955</v>
      </c>
    </row>
    <row r="27" spans="1:22" ht="13.5" customHeight="1">
      <c r="A27" s="209"/>
      <c r="B27" s="51" t="s">
        <v>154</v>
      </c>
      <c r="C27" s="52">
        <v>38</v>
      </c>
      <c r="D27" s="53">
        <v>41</v>
      </c>
      <c r="E27" s="53">
        <v>34</v>
      </c>
      <c r="F27" s="53">
        <v>36</v>
      </c>
      <c r="G27" s="53">
        <v>39</v>
      </c>
      <c r="H27" s="53">
        <v>35</v>
      </c>
      <c r="I27" s="53">
        <v>43</v>
      </c>
      <c r="J27" s="53">
        <v>45</v>
      </c>
      <c r="K27" s="54">
        <v>34</v>
      </c>
      <c r="L27" s="55">
        <v>30</v>
      </c>
      <c r="M27" s="55">
        <v>26</v>
      </c>
      <c r="N27" s="55">
        <v>32.413391557496404</v>
      </c>
      <c r="O27" s="56">
        <v>38.455188012439898</v>
      </c>
      <c r="P27" s="57">
        <f>O27-T27</f>
        <v>6.4551880124398977</v>
      </c>
      <c r="Q27" s="199"/>
      <c r="R27" s="200"/>
      <c r="T27" s="58">
        <v>32</v>
      </c>
      <c r="U27" s="58"/>
      <c r="V27" s="58"/>
    </row>
    <row r="28" spans="1:22" ht="15" customHeight="1">
      <c r="A28" s="209" t="s">
        <v>137</v>
      </c>
      <c r="B28" s="50" t="s">
        <v>84</v>
      </c>
      <c r="C28" s="231">
        <v>1450</v>
      </c>
      <c r="D28" s="232">
        <v>282</v>
      </c>
      <c r="E28" s="232">
        <v>8950</v>
      </c>
      <c r="F28" s="232">
        <v>22645</v>
      </c>
      <c r="G28" s="232">
        <v>950</v>
      </c>
      <c r="H28" s="232">
        <v>14180</v>
      </c>
      <c r="I28" s="232">
        <v>3080</v>
      </c>
      <c r="J28" s="233">
        <v>7905</v>
      </c>
      <c r="K28" s="234">
        <v>250</v>
      </c>
      <c r="L28" s="235">
        <v>170</v>
      </c>
      <c r="M28" s="235">
        <v>50</v>
      </c>
      <c r="N28" s="236">
        <v>33</v>
      </c>
      <c r="O28" s="237">
        <v>59945</v>
      </c>
      <c r="P28" s="59">
        <v>-0.14746707625792876</v>
      </c>
      <c r="Q28" s="199"/>
      <c r="R28" s="200"/>
      <c r="T28" s="229">
        <f>U28+V28</f>
        <v>70314</v>
      </c>
      <c r="U28" s="230">
        <v>69692</v>
      </c>
      <c r="V28" s="230">
        <v>622</v>
      </c>
    </row>
    <row r="29" spans="1:22" ht="13.5" customHeight="1">
      <c r="A29" s="209"/>
      <c r="B29" s="51" t="s">
        <v>154</v>
      </c>
      <c r="C29" s="52">
        <v>91</v>
      </c>
      <c r="D29" s="53">
        <v>94</v>
      </c>
      <c r="E29" s="53">
        <v>107.99474860335199</v>
      </c>
      <c r="F29" s="53">
        <v>100</v>
      </c>
      <c r="G29" s="53">
        <v>100</v>
      </c>
      <c r="H29" s="53">
        <v>110</v>
      </c>
      <c r="I29" s="53">
        <v>100</v>
      </c>
      <c r="J29" s="53">
        <v>110</v>
      </c>
      <c r="K29" s="54">
        <v>85</v>
      </c>
      <c r="L29" s="55">
        <v>84</v>
      </c>
      <c r="M29" s="55">
        <v>69</v>
      </c>
      <c r="N29" s="55">
        <v>69</v>
      </c>
      <c r="O29" s="56">
        <v>104.481074318125</v>
      </c>
      <c r="P29" s="57">
        <f>O29-T29</f>
        <v>10.481074318124996</v>
      </c>
      <c r="Q29" s="199"/>
      <c r="R29" s="204"/>
      <c r="T29" s="58">
        <v>94</v>
      </c>
      <c r="U29" s="58"/>
      <c r="V29" s="58"/>
    </row>
    <row r="30" spans="1:22" ht="13.5" customHeight="1">
      <c r="A30" s="209" t="s">
        <v>138</v>
      </c>
      <c r="B30" s="50" t="s">
        <v>84</v>
      </c>
      <c r="C30" s="231">
        <v>1440</v>
      </c>
      <c r="D30" s="232">
        <v>598</v>
      </c>
      <c r="E30" s="232">
        <v>8885</v>
      </c>
      <c r="F30" s="232">
        <v>10350</v>
      </c>
      <c r="G30" s="232">
        <v>915</v>
      </c>
      <c r="H30" s="232">
        <v>11320</v>
      </c>
      <c r="I30" s="232">
        <v>3300</v>
      </c>
      <c r="J30" s="233">
        <v>3605</v>
      </c>
      <c r="K30" s="234">
        <v>195</v>
      </c>
      <c r="L30" s="235">
        <v>60</v>
      </c>
      <c r="M30" s="235">
        <v>40</v>
      </c>
      <c r="N30" s="235">
        <v>3</v>
      </c>
      <c r="O30" s="237">
        <v>40711</v>
      </c>
      <c r="P30" s="59">
        <f>O30/T30-1</f>
        <v>-0.14451122131629823</v>
      </c>
      <c r="Q30" s="199"/>
      <c r="R30" s="200"/>
      <c r="T30" s="229">
        <v>47588</v>
      </c>
      <c r="U30" s="230">
        <v>40133</v>
      </c>
      <c r="V30" s="230">
        <v>595</v>
      </c>
    </row>
    <row r="31" spans="1:22" ht="13.5" customHeight="1">
      <c r="A31" s="209"/>
      <c r="B31" s="51" t="s">
        <v>154</v>
      </c>
      <c r="C31" s="52">
        <v>59</v>
      </c>
      <c r="D31" s="53">
        <v>76.973244147157203</v>
      </c>
      <c r="E31" s="53">
        <v>70</v>
      </c>
      <c r="F31" s="53">
        <v>80</v>
      </c>
      <c r="G31" s="53">
        <v>80</v>
      </c>
      <c r="H31" s="53">
        <v>82</v>
      </c>
      <c r="I31" s="53">
        <v>65</v>
      </c>
      <c r="J31" s="53">
        <v>70</v>
      </c>
      <c r="K31" s="54">
        <v>72</v>
      </c>
      <c r="L31" s="55">
        <v>70</v>
      </c>
      <c r="M31" s="55">
        <v>60</v>
      </c>
      <c r="N31" s="55">
        <v>55</v>
      </c>
      <c r="O31" s="56">
        <v>75.4104541770038</v>
      </c>
      <c r="P31" s="201">
        <f>O31-T31</f>
        <v>36.4104541770038</v>
      </c>
      <c r="Q31" s="152"/>
      <c r="R31" s="200"/>
      <c r="T31" s="58">
        <v>39</v>
      </c>
      <c r="U31" s="58"/>
      <c r="V31" s="58"/>
    </row>
    <row r="32" spans="1:22" ht="13.5" customHeight="1">
      <c r="A32" s="209" t="s">
        <v>139</v>
      </c>
      <c r="B32" s="50" t="s">
        <v>84</v>
      </c>
      <c r="C32" s="231">
        <v>3285</v>
      </c>
      <c r="D32" s="232">
        <v>420</v>
      </c>
      <c r="E32" s="232">
        <v>1960</v>
      </c>
      <c r="F32" s="232">
        <v>6815</v>
      </c>
      <c r="G32" s="232">
        <v>1015</v>
      </c>
      <c r="H32" s="232">
        <v>225</v>
      </c>
      <c r="I32" s="232">
        <v>2080</v>
      </c>
      <c r="J32" s="233">
        <v>4870</v>
      </c>
      <c r="K32" s="234">
        <v>1740</v>
      </c>
      <c r="L32" s="235">
        <v>70</v>
      </c>
      <c r="M32" s="235">
        <v>470</v>
      </c>
      <c r="N32" s="235">
        <v>30</v>
      </c>
      <c r="O32" s="237">
        <v>22980</v>
      </c>
      <c r="P32" s="59">
        <v>-0.11717249327698809</v>
      </c>
      <c r="Q32" s="199"/>
      <c r="R32" s="200"/>
      <c r="T32" s="229">
        <f>U32+V32</f>
        <v>26030</v>
      </c>
      <c r="U32" s="230">
        <v>22810</v>
      </c>
      <c r="V32" s="230">
        <v>3220</v>
      </c>
    </row>
    <row r="33" spans="1:22" ht="13.5" customHeight="1">
      <c r="A33" s="209"/>
      <c r="B33" s="51" t="s">
        <v>154</v>
      </c>
      <c r="C33" s="52">
        <v>32</v>
      </c>
      <c r="D33" s="53">
        <v>31</v>
      </c>
      <c r="E33" s="53">
        <v>28</v>
      </c>
      <c r="F33" s="53">
        <v>34</v>
      </c>
      <c r="G33" s="53">
        <v>33</v>
      </c>
      <c r="H33" s="53">
        <v>31</v>
      </c>
      <c r="I33" s="53">
        <v>30</v>
      </c>
      <c r="J33" s="53">
        <v>34</v>
      </c>
      <c r="K33" s="54">
        <v>30</v>
      </c>
      <c r="L33" s="55">
        <v>28</v>
      </c>
      <c r="M33" s="55">
        <v>30</v>
      </c>
      <c r="N33" s="55">
        <v>29</v>
      </c>
      <c r="O33" s="56">
        <v>32.3024369016536</v>
      </c>
      <c r="P33" s="57">
        <f>O33-T33</f>
        <v>5.3024369016535999</v>
      </c>
      <c r="Q33" s="199"/>
      <c r="R33" s="200"/>
      <c r="T33" s="58">
        <v>27</v>
      </c>
      <c r="U33" s="58"/>
      <c r="V33" s="58"/>
    </row>
    <row r="34" spans="1:22" ht="14.25" customHeight="1">
      <c r="A34" s="209" t="s">
        <v>140</v>
      </c>
      <c r="B34" s="50" t="s">
        <v>84</v>
      </c>
      <c r="C34" s="231">
        <v>620</v>
      </c>
      <c r="D34" s="232">
        <v>100</v>
      </c>
      <c r="E34" s="232">
        <v>5600</v>
      </c>
      <c r="F34" s="232">
        <v>4400</v>
      </c>
      <c r="G34" s="232">
        <v>850</v>
      </c>
      <c r="H34" s="232">
        <v>140</v>
      </c>
      <c r="I34" s="232">
        <v>3350</v>
      </c>
      <c r="J34" s="233">
        <v>4570</v>
      </c>
      <c r="K34" s="234">
        <v>1220</v>
      </c>
      <c r="L34" s="235">
        <v>225</v>
      </c>
      <c r="M34" s="235">
        <v>300</v>
      </c>
      <c r="N34" s="235">
        <v>5</v>
      </c>
      <c r="O34" s="237">
        <v>21380</v>
      </c>
      <c r="P34" s="59">
        <v>0.27702783418946364</v>
      </c>
      <c r="Q34" s="199"/>
      <c r="R34" s="200"/>
      <c r="T34" s="229">
        <f>U34+V34</f>
        <v>16742</v>
      </c>
      <c r="U34" s="230">
        <v>15310</v>
      </c>
      <c r="V34" s="230">
        <v>1432</v>
      </c>
    </row>
    <row r="35" spans="1:22" ht="19.5" customHeight="1">
      <c r="A35" s="209"/>
      <c r="B35" s="51" t="s">
        <v>154</v>
      </c>
      <c r="C35" s="52">
        <v>50</v>
      </c>
      <c r="D35" s="53">
        <v>39</v>
      </c>
      <c r="E35" s="53">
        <v>50</v>
      </c>
      <c r="F35" s="53">
        <v>56</v>
      </c>
      <c r="G35" s="53">
        <v>40</v>
      </c>
      <c r="H35" s="53">
        <v>49</v>
      </c>
      <c r="I35" s="53">
        <v>45</v>
      </c>
      <c r="J35" s="53">
        <v>52</v>
      </c>
      <c r="K35" s="54">
        <v>53</v>
      </c>
      <c r="L35" s="55">
        <v>46</v>
      </c>
      <c r="M35" s="55">
        <v>40</v>
      </c>
      <c r="N35" s="55">
        <v>28</v>
      </c>
      <c r="O35" s="56">
        <v>50.406922357343298</v>
      </c>
      <c r="P35" s="57">
        <f>O35-T35</f>
        <v>11.406922357343298</v>
      </c>
      <c r="Q35" s="199"/>
      <c r="R35" s="200"/>
      <c r="T35" s="58">
        <v>39</v>
      </c>
      <c r="U35" s="58"/>
      <c r="V35" s="58"/>
    </row>
    <row r="36" spans="1:22">
      <c r="A36" s="209" t="s">
        <v>141</v>
      </c>
      <c r="B36" s="50" t="s">
        <v>84</v>
      </c>
      <c r="C36" s="231">
        <v>1060</v>
      </c>
      <c r="D36" s="232">
        <v>1400</v>
      </c>
      <c r="E36" s="232">
        <v>9600</v>
      </c>
      <c r="F36" s="232">
        <v>5700</v>
      </c>
      <c r="G36" s="232">
        <v>460</v>
      </c>
      <c r="H36" s="232">
        <v>900</v>
      </c>
      <c r="I36" s="232">
        <v>4700</v>
      </c>
      <c r="J36" s="232">
        <v>3000</v>
      </c>
      <c r="K36" s="234">
        <v>2560</v>
      </c>
      <c r="L36" s="235">
        <v>1170</v>
      </c>
      <c r="M36" s="235">
        <v>330</v>
      </c>
      <c r="N36" s="235">
        <v>10</v>
      </c>
      <c r="O36" s="237">
        <v>30890</v>
      </c>
      <c r="P36" s="159">
        <v>-0.22308853118712269</v>
      </c>
      <c r="Q36" s="199"/>
      <c r="R36" s="200"/>
      <c r="T36" s="229">
        <f>U36+V36</f>
        <v>39760</v>
      </c>
      <c r="U36" s="230">
        <v>35760</v>
      </c>
      <c r="V36" s="230">
        <v>4000</v>
      </c>
    </row>
    <row r="37" spans="1:22">
      <c r="A37" s="209"/>
      <c r="B37" s="51" t="s">
        <v>154</v>
      </c>
      <c r="C37" s="153">
        <v>23</v>
      </c>
      <c r="D37" s="154">
        <v>27</v>
      </c>
      <c r="E37" s="154">
        <v>27</v>
      </c>
      <c r="F37" s="154">
        <v>32</v>
      </c>
      <c r="G37" s="154">
        <v>23</v>
      </c>
      <c r="H37" s="154">
        <v>30</v>
      </c>
      <c r="I37" s="154">
        <v>27</v>
      </c>
      <c r="J37" s="154">
        <v>22</v>
      </c>
      <c r="K37" s="155">
        <v>27</v>
      </c>
      <c r="L37" s="156">
        <v>24</v>
      </c>
      <c r="M37" s="156">
        <v>16</v>
      </c>
      <c r="N37" s="156">
        <v>19</v>
      </c>
      <c r="O37" s="157">
        <v>27.0938815150534</v>
      </c>
      <c r="P37" s="158">
        <f>O37-T37</f>
        <v>9.3881515053400477E-2</v>
      </c>
      <c r="Q37" s="199"/>
      <c r="R37" s="200"/>
      <c r="T37" s="58">
        <v>27</v>
      </c>
      <c r="U37" s="58"/>
      <c r="V37" s="58"/>
    </row>
    <row r="38" spans="1:22">
      <c r="A38" s="209" t="s">
        <v>142</v>
      </c>
      <c r="B38" s="50" t="s">
        <v>84</v>
      </c>
      <c r="C38" s="231">
        <v>4700</v>
      </c>
      <c r="D38" s="232">
        <v>1090</v>
      </c>
      <c r="E38" s="232">
        <v>47000</v>
      </c>
      <c r="F38" s="232">
        <v>66500</v>
      </c>
      <c r="G38" s="232">
        <v>3070</v>
      </c>
      <c r="H38" s="232">
        <v>5150</v>
      </c>
      <c r="I38" s="232">
        <v>24000</v>
      </c>
      <c r="J38" s="233">
        <v>26000</v>
      </c>
      <c r="K38" s="234">
        <v>19000</v>
      </c>
      <c r="L38" s="235">
        <v>2800</v>
      </c>
      <c r="M38" s="235">
        <v>630</v>
      </c>
      <c r="N38" s="235">
        <v>55</v>
      </c>
      <c r="O38" s="237">
        <v>199995</v>
      </c>
      <c r="P38" s="59">
        <v>-7.9466998066832328E-2</v>
      </c>
      <c r="Q38" s="199"/>
      <c r="R38" s="200"/>
      <c r="T38" s="229">
        <f>U38+V38</f>
        <v>217260</v>
      </c>
      <c r="U38" s="230">
        <v>195355</v>
      </c>
      <c r="V38" s="230">
        <v>21905</v>
      </c>
    </row>
    <row r="39" spans="1:22">
      <c r="A39" s="209"/>
      <c r="B39" s="51" t="s">
        <v>154</v>
      </c>
      <c r="C39" s="52">
        <v>21</v>
      </c>
      <c r="D39" s="53">
        <v>19</v>
      </c>
      <c r="E39" s="53">
        <v>22</v>
      </c>
      <c r="F39" s="53">
        <v>24</v>
      </c>
      <c r="G39" s="53">
        <v>22</v>
      </c>
      <c r="H39" s="53">
        <v>22</v>
      </c>
      <c r="I39" s="53">
        <v>21</v>
      </c>
      <c r="J39" s="53">
        <v>22</v>
      </c>
      <c r="K39" s="54">
        <v>19</v>
      </c>
      <c r="L39" s="55">
        <v>15</v>
      </c>
      <c r="M39" s="55">
        <v>14</v>
      </c>
      <c r="N39" s="55">
        <v>13.363636363636401</v>
      </c>
      <c r="O39" s="56">
        <v>22.094577364434102</v>
      </c>
      <c r="P39" s="57">
        <f>O39-T39</f>
        <v>5.0945773644341017</v>
      </c>
      <c r="Q39" s="199"/>
      <c r="R39" s="200"/>
      <c r="T39" s="58">
        <v>17</v>
      </c>
      <c r="U39" s="58"/>
      <c r="V39" s="58"/>
    </row>
    <row r="40" spans="1:22">
      <c r="A40" s="209" t="s">
        <v>143</v>
      </c>
      <c r="B40" s="50" t="s">
        <v>84</v>
      </c>
      <c r="C40" s="231">
        <v>810</v>
      </c>
      <c r="D40" s="232">
        <v>80</v>
      </c>
      <c r="E40" s="232">
        <v>7000</v>
      </c>
      <c r="F40" s="232">
        <v>28000</v>
      </c>
      <c r="G40" s="232">
        <v>570</v>
      </c>
      <c r="H40" s="232">
        <v>5000</v>
      </c>
      <c r="I40" s="232">
        <v>2400</v>
      </c>
      <c r="J40" s="233">
        <v>3800</v>
      </c>
      <c r="K40" s="234">
        <v>800</v>
      </c>
      <c r="L40" s="235">
        <v>10</v>
      </c>
      <c r="M40" s="235">
        <v>30</v>
      </c>
      <c r="N40" s="235">
        <v>1</v>
      </c>
      <c r="O40" s="237">
        <v>48501</v>
      </c>
      <c r="P40" s="59">
        <v>-0.16120161876102523</v>
      </c>
      <c r="Q40" s="199"/>
      <c r="R40" s="200"/>
      <c r="T40" s="229">
        <f>U40+V40</f>
        <v>57822</v>
      </c>
      <c r="U40" s="230">
        <v>56255</v>
      </c>
      <c r="V40" s="230">
        <v>1567</v>
      </c>
    </row>
    <row r="41" spans="1:22">
      <c r="A41" s="209"/>
      <c r="B41" s="51" t="s">
        <v>154</v>
      </c>
      <c r="C41" s="52">
        <v>23</v>
      </c>
      <c r="D41" s="53">
        <v>20</v>
      </c>
      <c r="E41" s="53">
        <v>26</v>
      </c>
      <c r="F41" s="53">
        <v>27</v>
      </c>
      <c r="G41" s="53">
        <v>26</v>
      </c>
      <c r="H41" s="53">
        <v>28</v>
      </c>
      <c r="I41" s="53">
        <v>23</v>
      </c>
      <c r="J41" s="53">
        <v>25</v>
      </c>
      <c r="K41" s="54">
        <v>24</v>
      </c>
      <c r="L41" s="55">
        <v>24</v>
      </c>
      <c r="M41" s="55">
        <v>14</v>
      </c>
      <c r="N41" s="55">
        <v>14</v>
      </c>
      <c r="O41" s="56">
        <v>26.455619471763502</v>
      </c>
      <c r="P41" s="57">
        <f>O41-T41</f>
        <v>8.4556194717635016</v>
      </c>
      <c r="Q41" s="199"/>
      <c r="R41" s="200"/>
      <c r="T41" s="58">
        <v>18</v>
      </c>
      <c r="U41" s="58"/>
      <c r="V41" s="58"/>
    </row>
    <row r="42" spans="1:22">
      <c r="A42" s="209" t="s">
        <v>144</v>
      </c>
      <c r="B42" s="50" t="s">
        <v>84</v>
      </c>
      <c r="C42" s="243">
        <v>510</v>
      </c>
      <c r="D42" s="244">
        <v>310</v>
      </c>
      <c r="E42" s="244">
        <v>2500</v>
      </c>
      <c r="F42" s="244">
        <v>6300</v>
      </c>
      <c r="G42" s="244">
        <v>250</v>
      </c>
      <c r="H42" s="244">
        <v>200</v>
      </c>
      <c r="I42" s="244">
        <v>2100</v>
      </c>
      <c r="J42" s="244">
        <v>1300</v>
      </c>
      <c r="K42" s="245">
        <v>730</v>
      </c>
      <c r="L42" s="246">
        <v>180</v>
      </c>
      <c r="M42" s="246">
        <v>210</v>
      </c>
      <c r="N42" s="246">
        <v>14</v>
      </c>
      <c r="O42" s="237">
        <v>14604</v>
      </c>
      <c r="P42" s="159">
        <v>0.33102442581115565</v>
      </c>
      <c r="Q42" s="199"/>
      <c r="R42" s="200"/>
      <c r="T42" s="229">
        <f>U42+V42</f>
        <v>10972</v>
      </c>
      <c r="U42" s="230">
        <v>10040</v>
      </c>
      <c r="V42" s="230">
        <v>932</v>
      </c>
    </row>
    <row r="43" spans="1:22">
      <c r="A43" s="209"/>
      <c r="B43" s="51" t="s">
        <v>154</v>
      </c>
      <c r="C43" s="52">
        <v>12</v>
      </c>
      <c r="D43" s="53">
        <v>16</v>
      </c>
      <c r="E43" s="53">
        <v>18</v>
      </c>
      <c r="F43" s="53">
        <v>17</v>
      </c>
      <c r="G43" s="53">
        <v>12</v>
      </c>
      <c r="H43" s="53">
        <v>12</v>
      </c>
      <c r="I43" s="53">
        <v>15</v>
      </c>
      <c r="J43" s="53">
        <v>16</v>
      </c>
      <c r="K43" s="54">
        <v>13</v>
      </c>
      <c r="L43" s="55">
        <v>14</v>
      </c>
      <c r="M43" s="55">
        <v>13</v>
      </c>
      <c r="N43" s="55">
        <v>8</v>
      </c>
      <c r="O43" s="56">
        <v>16.141605039715099</v>
      </c>
      <c r="P43" s="57">
        <f>O43-T43</f>
        <v>2.141605039715099</v>
      </c>
      <c r="Q43" s="199"/>
      <c r="R43" s="200"/>
      <c r="T43" s="58">
        <v>14</v>
      </c>
      <c r="U43" s="58"/>
      <c r="V43" s="58"/>
    </row>
    <row r="44" spans="1:22">
      <c r="A44" s="209" t="s">
        <v>145</v>
      </c>
      <c r="B44" s="50" t="s">
        <v>84</v>
      </c>
      <c r="C44" s="243">
        <v>350</v>
      </c>
      <c r="D44" s="244">
        <v>160</v>
      </c>
      <c r="E44" s="244">
        <v>4500</v>
      </c>
      <c r="F44" s="244">
        <v>8340</v>
      </c>
      <c r="G44" s="244">
        <v>540</v>
      </c>
      <c r="H44" s="244">
        <v>600</v>
      </c>
      <c r="I44" s="244">
        <v>2500</v>
      </c>
      <c r="J44" s="244">
        <v>750</v>
      </c>
      <c r="K44" s="245">
        <v>1590</v>
      </c>
      <c r="L44" s="246">
        <v>95</v>
      </c>
      <c r="M44" s="246">
        <v>250</v>
      </c>
      <c r="N44" s="246">
        <v>23</v>
      </c>
      <c r="O44" s="237">
        <v>19698</v>
      </c>
      <c r="P44" s="159">
        <v>0.16178118549100562</v>
      </c>
      <c r="Q44" s="199"/>
      <c r="R44" s="200"/>
      <c r="T44" s="229">
        <f>U44+V44</f>
        <v>16955</v>
      </c>
      <c r="U44" s="230">
        <v>14985</v>
      </c>
      <c r="V44" s="230">
        <v>1970</v>
      </c>
    </row>
    <row r="45" spans="1:22">
      <c r="A45" s="209"/>
      <c r="B45" s="51" t="s">
        <v>154</v>
      </c>
      <c r="C45" s="153">
        <v>30.771428571428601</v>
      </c>
      <c r="D45" s="154">
        <v>34.9375</v>
      </c>
      <c r="E45" s="154">
        <v>34.1111111111111</v>
      </c>
      <c r="F45" s="154">
        <v>38.201438848920901</v>
      </c>
      <c r="G45" s="154">
        <v>35.4444444444444</v>
      </c>
      <c r="H45" s="154">
        <v>33</v>
      </c>
      <c r="I45" s="154">
        <v>36.6</v>
      </c>
      <c r="J45" s="154">
        <v>35.3333333333333</v>
      </c>
      <c r="K45" s="155">
        <v>36.660377358490599</v>
      </c>
      <c r="L45" s="156">
        <v>26.105263157894701</v>
      </c>
      <c r="M45" s="156">
        <v>23.36</v>
      </c>
      <c r="N45" s="156">
        <v>29.347826086956498</v>
      </c>
      <c r="O45" s="157">
        <v>36.180576708295298</v>
      </c>
      <c r="P45" s="158">
        <f>O45-T45</f>
        <v>2.1805767082952983</v>
      </c>
      <c r="Q45" s="199"/>
      <c r="R45" s="200"/>
      <c r="T45" s="58">
        <v>34</v>
      </c>
      <c r="U45" s="58"/>
      <c r="V45" s="58"/>
    </row>
    <row r="46" spans="1:22" ht="13.2" customHeight="1">
      <c r="A46" s="209" t="s">
        <v>146</v>
      </c>
      <c r="B46" s="247" t="s">
        <v>84</v>
      </c>
      <c r="C46" s="231">
        <v>1670</v>
      </c>
      <c r="D46" s="232">
        <v>12070</v>
      </c>
      <c r="E46" s="232">
        <v>3200</v>
      </c>
      <c r="F46" s="232">
        <v>937</v>
      </c>
      <c r="G46" s="232">
        <v>3070</v>
      </c>
      <c r="H46" s="232">
        <v>2400</v>
      </c>
      <c r="I46" s="232">
        <v>3850</v>
      </c>
      <c r="J46" s="233">
        <v>1332</v>
      </c>
      <c r="K46" s="234">
        <v>230</v>
      </c>
      <c r="L46" s="235">
        <v>0</v>
      </c>
      <c r="M46" s="235">
        <v>15</v>
      </c>
      <c r="N46" s="235">
        <v>300</v>
      </c>
      <c r="O46" s="237">
        <v>29074</v>
      </c>
      <c r="P46" s="59">
        <v>-3.2000000000000001E-2</v>
      </c>
      <c r="Q46" s="199"/>
      <c r="R46" s="200"/>
      <c r="T46" s="229">
        <f>U46+V46</f>
        <v>59906</v>
      </c>
      <c r="U46" s="230">
        <v>29358</v>
      </c>
      <c r="V46" s="230">
        <v>30548</v>
      </c>
    </row>
    <row r="47" spans="1:22">
      <c r="A47" s="209"/>
      <c r="B47" s="51" t="s">
        <v>154</v>
      </c>
      <c r="C47" s="52">
        <v>80.029940119760496</v>
      </c>
      <c r="D47" s="53">
        <v>84.737365368682703</v>
      </c>
      <c r="E47" s="53">
        <v>79.17</v>
      </c>
      <c r="F47" s="53">
        <v>92.254002134471705</v>
      </c>
      <c r="G47" s="53">
        <v>78.7785016286645</v>
      </c>
      <c r="H47" s="53">
        <v>96.98</v>
      </c>
      <c r="I47" s="53">
        <v>88.465974025974006</v>
      </c>
      <c r="J47" s="53">
        <v>102.659159159159</v>
      </c>
      <c r="K47" s="54">
        <v>84.347826086956502</v>
      </c>
      <c r="L47" s="55"/>
      <c r="M47" s="55">
        <v>70</v>
      </c>
      <c r="N47" s="55">
        <v>82.6666666666667</v>
      </c>
      <c r="O47" s="56">
        <v>85.760610855059497</v>
      </c>
      <c r="P47" s="57">
        <f>O47-T47</f>
        <v>30.760610855059497</v>
      </c>
      <c r="Q47" s="199"/>
      <c r="R47" s="200"/>
      <c r="T47" s="58">
        <v>55</v>
      </c>
      <c r="U47" s="58"/>
      <c r="V47" s="58"/>
    </row>
    <row r="48" spans="1:22">
      <c r="A48" s="162" t="s">
        <v>85</v>
      </c>
    </row>
    <row r="49" spans="1:15">
      <c r="A49" s="162" t="s">
        <v>156</v>
      </c>
    </row>
    <row r="51" spans="1:15">
      <c r="O51" s="205"/>
    </row>
  </sheetData>
  <sheetProtection selectLockedCells="1" selectUnlockedCells="1"/>
  <mergeCells count="19">
    <mergeCell ref="A46:A47"/>
    <mergeCell ref="A34:A35"/>
    <mergeCell ref="A36:A37"/>
    <mergeCell ref="A38:A39"/>
    <mergeCell ref="A40:A41"/>
    <mergeCell ref="A42:A43"/>
    <mergeCell ref="A44:A45"/>
    <mergeCell ref="A32:A33"/>
    <mergeCell ref="A1:M1"/>
    <mergeCell ref="T12:V12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36" zoomScale="196" zoomScaleNormal="196" workbookViewId="0">
      <selection activeCell="D43" sqref="D43"/>
    </sheetView>
  </sheetViews>
  <sheetFormatPr baseColWidth="10" defaultColWidth="11" defaultRowHeight="13.2"/>
  <cols>
    <col min="1" max="1" width="11.33203125" style="65" customWidth="1"/>
    <col min="2" max="2" width="10.44140625" style="65" customWidth="1"/>
    <col min="3" max="4" width="11.109375" style="65" customWidth="1"/>
    <col min="5" max="5" width="10.88671875" style="65" customWidth="1"/>
    <col min="6" max="6" width="13.33203125" style="65" customWidth="1"/>
    <col min="7" max="10" width="11" style="65" customWidth="1"/>
    <col min="11" max="11" width="12" style="65" customWidth="1"/>
    <col min="12" max="13" width="11.33203125" style="65" customWidth="1"/>
    <col min="14" max="16384" width="11" style="65"/>
  </cols>
  <sheetData>
    <row r="6" spans="1:11" s="61" customFormat="1" ht="15">
      <c r="A6" s="60"/>
      <c r="B6" s="60"/>
    </row>
    <row r="7" spans="1:11" s="61" customFormat="1" ht="15">
      <c r="A7" s="60" t="s">
        <v>86</v>
      </c>
      <c r="B7" s="60"/>
    </row>
    <row r="9" spans="1:11" s="62" customFormat="1" ht="15">
      <c r="A9" s="212" t="s">
        <v>87</v>
      </c>
      <c r="B9" s="212"/>
      <c r="C9" s="212"/>
      <c r="D9" s="212"/>
      <c r="E9" s="212"/>
      <c r="F9" s="212"/>
      <c r="H9" s="63"/>
    </row>
    <row r="10" spans="1:11" s="62" customFormat="1" ht="12.75" customHeight="1" thickBot="1">
      <c r="C10" s="64"/>
      <c r="D10" s="64"/>
    </row>
    <row r="11" spans="1:11" s="62" customFormat="1" ht="14.7" customHeight="1" thickTop="1">
      <c r="A11" s="213" t="s">
        <v>103</v>
      </c>
      <c r="B11" s="215" t="s">
        <v>104</v>
      </c>
      <c r="C11" s="217" t="s">
        <v>88</v>
      </c>
      <c r="D11" s="217" t="s">
        <v>105</v>
      </c>
      <c r="E11" s="219" t="s">
        <v>106</v>
      </c>
      <c r="F11" s="69"/>
      <c r="G11" s="69"/>
      <c r="H11" s="69"/>
      <c r="I11" s="69"/>
      <c r="J11" s="69"/>
      <c r="K11" s="69"/>
    </row>
    <row r="12" spans="1:11" s="62" customFormat="1" ht="13.8" thickBot="1">
      <c r="A12" s="214"/>
      <c r="B12" s="216"/>
      <c r="C12" s="218"/>
      <c r="D12" s="218"/>
      <c r="E12" s="220"/>
      <c r="F12" s="69"/>
      <c r="G12" s="221"/>
      <c r="H12" s="221"/>
      <c r="I12" s="221"/>
      <c r="J12" s="69"/>
      <c r="K12" s="69"/>
    </row>
    <row r="13" spans="1:11" s="62" customFormat="1" thickTop="1">
      <c r="A13" s="142" t="s">
        <v>89</v>
      </c>
      <c r="B13" s="143">
        <v>183.82179710144925</v>
      </c>
      <c r="C13" s="143">
        <v>207.88</v>
      </c>
      <c r="D13" s="143">
        <v>345.62</v>
      </c>
      <c r="E13" s="144">
        <f>D13/C13-1</f>
        <v>0.66259380411776037</v>
      </c>
      <c r="F13" s="69"/>
      <c r="G13" s="69"/>
      <c r="H13" s="69"/>
      <c r="I13" s="69"/>
      <c r="J13" s="69"/>
      <c r="K13" s="69"/>
    </row>
    <row r="14" spans="1:11" s="62" customFormat="1" ht="12.6">
      <c r="A14" s="145" t="s">
        <v>90</v>
      </c>
      <c r="B14" s="146">
        <v>190.68118181818184</v>
      </c>
      <c r="C14" s="146">
        <v>243.72</v>
      </c>
      <c r="D14" s="146">
        <v>330.32</v>
      </c>
      <c r="E14" s="147">
        <f t="shared" ref="E14:E24" si="0">D14/C14-1</f>
        <v>0.35532578368619716</v>
      </c>
      <c r="F14" s="69"/>
      <c r="G14" s="69"/>
      <c r="H14" s="69"/>
      <c r="I14" s="69"/>
      <c r="J14" s="69"/>
      <c r="K14" s="69"/>
    </row>
    <row r="15" spans="1:11" s="62" customFormat="1" ht="12.6">
      <c r="A15" s="145" t="s">
        <v>91</v>
      </c>
      <c r="B15" s="146">
        <v>190.36287748917749</v>
      </c>
      <c r="C15" s="146">
        <v>248.46</v>
      </c>
      <c r="D15" s="146">
        <v>333.7</v>
      </c>
      <c r="E15" s="147">
        <f t="shared" si="0"/>
        <v>0.34307333172341625</v>
      </c>
      <c r="F15" s="69"/>
      <c r="G15" s="69"/>
      <c r="H15" s="69"/>
      <c r="I15" s="69"/>
      <c r="J15" s="69"/>
      <c r="K15" s="69"/>
    </row>
    <row r="16" spans="1:11" s="62" customFormat="1" ht="12.6">
      <c r="A16" s="145" t="s">
        <v>92</v>
      </c>
      <c r="B16" s="146">
        <v>199.6507391304348</v>
      </c>
      <c r="C16" s="146">
        <v>270.04047619047623</v>
      </c>
      <c r="D16" s="146">
        <v>344.16</v>
      </c>
      <c r="E16" s="147">
        <f t="shared" si="0"/>
        <v>0.2744756077131294</v>
      </c>
      <c r="F16" s="69"/>
      <c r="G16" s="69"/>
      <c r="H16" s="69"/>
      <c r="I16" s="69"/>
      <c r="J16" s="69"/>
      <c r="K16" s="69"/>
    </row>
    <row r="17" spans="1:13" s="62" customFormat="1" ht="12.6">
      <c r="A17" s="145" t="s">
        <v>93</v>
      </c>
      <c r="B17" s="146">
        <v>205.48928822055137</v>
      </c>
      <c r="C17" s="146">
        <v>291.72750000000002</v>
      </c>
      <c r="D17" s="146">
        <v>325.29000000000002</v>
      </c>
      <c r="E17" s="147">
        <f t="shared" si="0"/>
        <v>0.1150474329639819</v>
      </c>
      <c r="F17" s="69"/>
      <c r="G17" s="69"/>
      <c r="H17" s="69"/>
      <c r="I17" s="69"/>
      <c r="J17" s="69"/>
      <c r="K17" s="69"/>
    </row>
    <row r="18" spans="1:13" s="62" customFormat="1" ht="12.6">
      <c r="A18" s="145" t="s">
        <v>94</v>
      </c>
      <c r="B18" s="146">
        <v>203.82390064102566</v>
      </c>
      <c r="C18" s="146">
        <v>280.73846153846154</v>
      </c>
      <c r="D18" s="146">
        <v>304.89</v>
      </c>
      <c r="E18" s="147">
        <f t="shared" si="0"/>
        <v>8.6028605874616249E-2</v>
      </c>
      <c r="F18" s="69"/>
      <c r="G18" s="69"/>
      <c r="H18" s="69"/>
      <c r="I18" s="69"/>
      <c r="J18" s="69"/>
      <c r="K18" s="69"/>
    </row>
    <row r="19" spans="1:13" s="64" customFormat="1" ht="12.9" customHeight="1">
      <c r="A19" s="145" t="s">
        <v>95</v>
      </c>
      <c r="B19" s="146">
        <v>207.21316883116879</v>
      </c>
      <c r="C19" s="146">
        <v>271.10857142857139</v>
      </c>
      <c r="D19" s="146">
        <v>291.33999999999997</v>
      </c>
      <c r="E19" s="147">
        <f t="shared" si="0"/>
        <v>7.4624820841413086E-2</v>
      </c>
      <c r="F19" s="70"/>
      <c r="G19" s="70"/>
      <c r="H19" s="70"/>
      <c r="I19" s="70"/>
      <c r="J19" s="70"/>
      <c r="K19" s="70"/>
    </row>
    <row r="20" spans="1:13" s="62" customFormat="1" ht="12.9" customHeight="1">
      <c r="A20" s="145" t="s">
        <v>96</v>
      </c>
      <c r="B20" s="146">
        <v>206.25450000000001</v>
      </c>
      <c r="C20" s="146">
        <v>270.84550000000002</v>
      </c>
      <c r="D20" s="146">
        <v>283.89</v>
      </c>
      <c r="E20" s="147">
        <f t="shared" si="0"/>
        <v>4.8162144100603266E-2</v>
      </c>
      <c r="F20" s="69"/>
      <c r="G20" s="69"/>
      <c r="H20" s="69"/>
      <c r="I20" s="69"/>
      <c r="J20" s="69"/>
      <c r="K20" s="69"/>
    </row>
    <row r="21" spans="1:13" s="62" customFormat="1" ht="12.9" customHeight="1">
      <c r="A21" s="145" t="s">
        <v>97</v>
      </c>
      <c r="B21" s="146">
        <v>223.60250479954829</v>
      </c>
      <c r="C21" s="146">
        <v>378.84565217391309</v>
      </c>
      <c r="D21" s="146">
        <v>259.35749999999996</v>
      </c>
      <c r="E21" s="147">
        <f t="shared" si="0"/>
        <v>-0.31540061628861149</v>
      </c>
      <c r="F21" s="69"/>
      <c r="G21" s="69"/>
      <c r="H21" s="69"/>
      <c r="I21" s="69"/>
      <c r="J21" s="69"/>
      <c r="K21" s="69"/>
      <c r="M21" s="198"/>
    </row>
    <row r="22" spans="1:13" s="62" customFormat="1" ht="12.9" customHeight="1">
      <c r="A22" s="145" t="s">
        <v>98</v>
      </c>
      <c r="B22" s="146">
        <v>226.62711278195488</v>
      </c>
      <c r="C22" s="146">
        <v>384.16437500000001</v>
      </c>
      <c r="D22" s="146">
        <v>241.6</v>
      </c>
      <c r="E22" s="147">
        <f t="shared" si="0"/>
        <v>-0.37110253911492963</v>
      </c>
      <c r="F22" s="69"/>
      <c r="G22" s="69"/>
      <c r="H22" s="69"/>
      <c r="I22" s="69"/>
      <c r="J22" s="69"/>
      <c r="K22" s="69"/>
    </row>
    <row r="23" spans="1:13" s="62" customFormat="1" ht="12.9" customHeight="1">
      <c r="A23" s="145" t="s">
        <v>99</v>
      </c>
      <c r="B23" s="146">
        <v>230.52179114452801</v>
      </c>
      <c r="C23" s="146">
        <v>402.49</v>
      </c>
      <c r="D23" s="146">
        <v>221.85</v>
      </c>
      <c r="E23" s="147">
        <f t="shared" si="0"/>
        <v>-0.44880618152003782</v>
      </c>
      <c r="F23" s="69"/>
      <c r="G23" s="69"/>
      <c r="H23" s="69"/>
      <c r="I23" s="69"/>
      <c r="J23" s="69"/>
      <c r="K23" s="69"/>
    </row>
    <row r="24" spans="1:13" s="62" customFormat="1" ht="12.9" customHeight="1" thickBot="1">
      <c r="A24" s="148" t="s">
        <v>100</v>
      </c>
      <c r="B24" s="149">
        <v>222.80943381146889</v>
      </c>
      <c r="C24" s="149">
        <v>382.88</v>
      </c>
      <c r="D24" s="149">
        <v>230.73</v>
      </c>
      <c r="E24" s="150">
        <f t="shared" si="0"/>
        <v>-0.39738299206017558</v>
      </c>
      <c r="F24" s="69"/>
      <c r="G24" s="69"/>
      <c r="H24" s="69"/>
      <c r="I24" s="69"/>
      <c r="J24" s="69"/>
      <c r="K24" s="69"/>
    </row>
    <row r="25" spans="1:13" ht="13.8" thickTop="1">
      <c r="A25" s="71" t="s">
        <v>101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</row>
    <row r="26" spans="1:13">
      <c r="A26" s="71"/>
      <c r="B26" s="71"/>
      <c r="C26" s="71"/>
      <c r="D26" s="71"/>
      <c r="E26" s="71"/>
      <c r="F26" s="71"/>
      <c r="G26" s="71" t="s">
        <v>101</v>
      </c>
      <c r="H26" s="71"/>
      <c r="I26" s="71"/>
      <c r="J26" s="71"/>
      <c r="K26" s="71"/>
    </row>
    <row r="27" spans="1:1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3" ht="15">
      <c r="A28" s="222" t="s">
        <v>102</v>
      </c>
      <c r="B28" s="222"/>
      <c r="C28" s="222"/>
      <c r="D28" s="222"/>
      <c r="E28" s="222"/>
      <c r="F28" s="71"/>
      <c r="G28" s="71"/>
      <c r="H28" s="71"/>
      <c r="I28" s="71"/>
      <c r="J28" s="71"/>
      <c r="K28" s="71"/>
    </row>
    <row r="29" spans="1:13" ht="13.8" thickBot="1">
      <c r="A29" s="69"/>
      <c r="B29" s="69"/>
      <c r="C29" s="70"/>
      <c r="D29" s="70"/>
      <c r="E29" s="69"/>
      <c r="F29" s="71"/>
      <c r="G29" s="71"/>
      <c r="H29" s="71"/>
      <c r="I29" s="71"/>
      <c r="J29" s="71"/>
      <c r="K29" s="71"/>
    </row>
    <row r="30" spans="1:13" ht="14.7" customHeight="1" thickTop="1">
      <c r="A30" s="213" t="s">
        <v>103</v>
      </c>
      <c r="B30" s="215" t="s">
        <v>104</v>
      </c>
      <c r="C30" s="217" t="s">
        <v>88</v>
      </c>
      <c r="D30" s="217" t="s">
        <v>105</v>
      </c>
      <c r="E30" s="219" t="s">
        <v>106</v>
      </c>
      <c r="F30" s="71"/>
      <c r="G30" s="71"/>
      <c r="H30" s="71"/>
      <c r="I30" s="71"/>
      <c r="J30" s="71"/>
      <c r="K30" s="71"/>
    </row>
    <row r="31" spans="1:13" ht="13.8" thickBot="1">
      <c r="A31" s="214"/>
      <c r="B31" s="216"/>
      <c r="C31" s="218"/>
      <c r="D31" s="218"/>
      <c r="E31" s="220"/>
      <c r="F31" s="71"/>
      <c r="G31" s="71"/>
      <c r="H31" s="71"/>
      <c r="I31" s="71"/>
      <c r="J31" s="71"/>
      <c r="K31" s="71"/>
    </row>
    <row r="32" spans="1:13" ht="13.8" thickTop="1">
      <c r="A32" s="142" t="s">
        <v>89</v>
      </c>
      <c r="B32" s="143">
        <v>258.8</v>
      </c>
      <c r="C32" s="143">
        <v>296.05</v>
      </c>
      <c r="D32" s="143"/>
      <c r="E32" s="144">
        <f t="shared" ref="E32:E43" si="1">D32/C32-1</f>
        <v>-1</v>
      </c>
      <c r="F32" s="72"/>
      <c r="G32" s="71"/>
      <c r="H32" s="71"/>
      <c r="I32" s="71"/>
      <c r="J32" s="71"/>
      <c r="K32" s="71"/>
    </row>
    <row r="33" spans="1:13">
      <c r="A33" s="145" t="s">
        <v>90</v>
      </c>
      <c r="B33" s="146">
        <v>253.07</v>
      </c>
      <c r="C33" s="146"/>
      <c r="D33" s="146"/>
      <c r="E33" s="147"/>
      <c r="F33" s="72"/>
      <c r="G33" s="71"/>
      <c r="H33" s="71"/>
      <c r="I33" s="71"/>
      <c r="J33" s="71"/>
      <c r="K33" s="71"/>
    </row>
    <row r="34" spans="1:13">
      <c r="A34" s="145" t="s">
        <v>91</v>
      </c>
      <c r="B34" s="146">
        <v>285.92</v>
      </c>
      <c r="C34" s="146">
        <v>439.7</v>
      </c>
      <c r="D34" s="146">
        <v>454.08</v>
      </c>
      <c r="E34" s="147">
        <f t="shared" si="1"/>
        <v>3.2704116443029285E-2</v>
      </c>
      <c r="F34" s="72"/>
      <c r="G34" s="71"/>
      <c r="H34" s="71"/>
      <c r="I34" s="71"/>
      <c r="J34" s="71"/>
      <c r="K34" s="71"/>
    </row>
    <row r="35" spans="1:13">
      <c r="A35" s="145" t="s">
        <v>92</v>
      </c>
      <c r="B35" s="146">
        <v>314.55</v>
      </c>
      <c r="C35" s="146">
        <v>480.37</v>
      </c>
      <c r="D35" s="146">
        <v>484.43</v>
      </c>
      <c r="E35" s="147">
        <f t="shared" si="1"/>
        <v>8.4518183899910948E-3</v>
      </c>
      <c r="F35" s="72"/>
      <c r="G35" s="71"/>
      <c r="H35" s="71"/>
      <c r="I35" s="71"/>
      <c r="J35" s="71"/>
      <c r="K35" s="71"/>
    </row>
    <row r="36" spans="1:13">
      <c r="A36" s="145" t="s">
        <v>93</v>
      </c>
      <c r="B36" s="146">
        <v>292.45</v>
      </c>
      <c r="C36" s="146">
        <v>478.67</v>
      </c>
      <c r="D36" s="146">
        <v>484.51</v>
      </c>
      <c r="E36" s="147">
        <f t="shared" si="1"/>
        <v>1.2200472141558949E-2</v>
      </c>
      <c r="F36" s="72"/>
      <c r="G36" s="71"/>
      <c r="H36" s="71"/>
      <c r="I36" s="71"/>
      <c r="J36" s="71"/>
      <c r="K36" s="71"/>
    </row>
    <row r="37" spans="1:13">
      <c r="A37" s="145" t="s">
        <v>94</v>
      </c>
      <c r="B37" s="146">
        <v>271.44</v>
      </c>
      <c r="C37" s="146">
        <v>472.7</v>
      </c>
      <c r="D37" s="146">
        <v>475.94</v>
      </c>
      <c r="E37" s="147">
        <f t="shared" si="1"/>
        <v>6.8542415908610099E-3</v>
      </c>
      <c r="F37" s="72"/>
      <c r="G37" s="71"/>
      <c r="H37" s="71"/>
      <c r="I37" s="71"/>
      <c r="J37" s="71"/>
      <c r="K37" s="71"/>
    </row>
    <row r="38" spans="1:13">
      <c r="A38" s="145" t="s">
        <v>95</v>
      </c>
      <c r="B38" s="146">
        <v>292.25</v>
      </c>
      <c r="C38" s="146">
        <v>474.9</v>
      </c>
      <c r="D38" s="146">
        <v>452.58</v>
      </c>
      <c r="E38" s="147"/>
      <c r="F38" s="72"/>
      <c r="G38" s="71"/>
      <c r="H38" s="71"/>
      <c r="I38" s="71"/>
      <c r="J38" s="71"/>
      <c r="K38" s="71"/>
    </row>
    <row r="39" spans="1:13">
      <c r="A39" s="145" t="s">
        <v>96</v>
      </c>
      <c r="B39" s="146">
        <v>285.35000000000002</v>
      </c>
      <c r="C39" s="146"/>
      <c r="D39" s="146">
        <v>436.46</v>
      </c>
      <c r="E39" s="147"/>
      <c r="F39" s="72"/>
      <c r="G39" s="71"/>
      <c r="H39" s="71"/>
      <c r="I39" s="71"/>
      <c r="J39" s="71"/>
      <c r="K39" s="71"/>
    </row>
    <row r="40" spans="1:13">
      <c r="A40" s="145" t="s">
        <v>97</v>
      </c>
      <c r="B40" s="146">
        <v>280.55</v>
      </c>
      <c r="C40" s="146">
        <v>435.5</v>
      </c>
      <c r="D40" s="146">
        <v>425.98</v>
      </c>
      <c r="E40" s="147">
        <f>D41/C40-1</f>
        <v>-6.1239954075774983E-2</v>
      </c>
      <c r="F40" s="72"/>
      <c r="G40" s="71"/>
      <c r="H40" s="71"/>
      <c r="I40" s="71"/>
      <c r="J40" s="71"/>
      <c r="K40" s="71"/>
    </row>
    <row r="41" spans="1:13">
      <c r="A41" s="145" t="s">
        <v>98</v>
      </c>
      <c r="B41" s="146">
        <v>280.07</v>
      </c>
      <c r="C41" s="146">
        <v>434.9</v>
      </c>
      <c r="D41" s="146">
        <v>408.83</v>
      </c>
      <c r="E41" s="147"/>
      <c r="F41" s="72"/>
      <c r="G41" s="71"/>
      <c r="H41" s="71"/>
      <c r="I41" s="71"/>
      <c r="J41" s="71"/>
      <c r="K41" s="71"/>
    </row>
    <row r="42" spans="1:13">
      <c r="A42" s="145" t="s">
        <v>99</v>
      </c>
      <c r="B42" s="146">
        <v>289.31400000000002</v>
      </c>
      <c r="C42" s="146"/>
      <c r="D42" s="146"/>
      <c r="E42" s="147" t="e">
        <f t="shared" si="1"/>
        <v>#DIV/0!</v>
      </c>
      <c r="F42" s="72"/>
      <c r="G42" s="71"/>
      <c r="H42" s="71"/>
      <c r="I42" s="71"/>
      <c r="J42" s="71"/>
      <c r="K42" s="71"/>
    </row>
    <row r="43" spans="1:13" ht="13.8" thickBot="1">
      <c r="A43" s="148" t="s">
        <v>100</v>
      </c>
      <c r="B43" s="149">
        <v>299.44</v>
      </c>
      <c r="C43" s="149">
        <v>528.09</v>
      </c>
      <c r="D43" s="149"/>
      <c r="E43" s="150">
        <f t="shared" si="1"/>
        <v>-1</v>
      </c>
      <c r="F43" s="72"/>
      <c r="G43" s="71"/>
      <c r="H43" s="71"/>
      <c r="I43" s="71"/>
      <c r="J43" s="71"/>
      <c r="K43" s="71"/>
    </row>
    <row r="44" spans="1:13" ht="13.8" thickTop="1">
      <c r="A44" s="71" t="s">
        <v>101</v>
      </c>
      <c r="B44" s="71"/>
      <c r="C44" s="71"/>
      <c r="D44" s="71"/>
      <c r="E44" s="71"/>
      <c r="F44" s="71"/>
      <c r="G44" s="71" t="s">
        <v>101</v>
      </c>
      <c r="H44" s="71"/>
      <c r="I44" s="71"/>
      <c r="J44" s="71"/>
      <c r="K44" s="71"/>
    </row>
    <row r="45" spans="1:13">
      <c r="A45" s="71"/>
      <c r="B45" s="73"/>
      <c r="C45" s="73"/>
      <c r="D45" s="73"/>
      <c r="E45" s="71"/>
      <c r="F45" s="71"/>
      <c r="G45" s="71"/>
      <c r="H45" s="71"/>
      <c r="I45" s="71"/>
      <c r="J45" s="71"/>
      <c r="K45" s="71"/>
    </row>
    <row r="46" spans="1:13" ht="15.75" customHeight="1">
      <c r="A46" s="71"/>
      <c r="B46" s="71"/>
      <c r="C46" s="74"/>
      <c r="D46" s="74"/>
      <c r="E46" s="74"/>
      <c r="F46" s="75"/>
      <c r="G46" s="75"/>
      <c r="H46" s="75"/>
      <c r="I46" s="75"/>
      <c r="J46" s="75"/>
      <c r="K46" s="75"/>
      <c r="L46" s="66"/>
      <c r="M46" s="66"/>
    </row>
    <row r="47" spans="1:13" s="62" customFormat="1" ht="13.8">
      <c r="A47" s="76" t="s">
        <v>107</v>
      </c>
      <c r="B47" s="77"/>
      <c r="C47" s="78"/>
      <c r="D47" s="78"/>
      <c r="E47" s="78"/>
      <c r="F47" s="79"/>
      <c r="G47" s="69"/>
      <c r="H47" s="69"/>
      <c r="I47" s="69"/>
      <c r="J47" s="69"/>
      <c r="K47" s="79"/>
      <c r="L47" s="67"/>
    </row>
    <row r="48" spans="1:13" s="62" customFormat="1" ht="12.75" customHeight="1" thickBot="1">
      <c r="A48" s="69"/>
      <c r="B48" s="69"/>
      <c r="C48" s="70"/>
      <c r="D48" s="70"/>
      <c r="E48" s="69"/>
      <c r="F48" s="223"/>
      <c r="G48" s="223"/>
      <c r="H48" s="223"/>
      <c r="I48" s="223"/>
      <c r="J48" s="223"/>
      <c r="K48" s="223"/>
      <c r="L48" s="68"/>
      <c r="M48" s="68"/>
    </row>
    <row r="49" spans="1:11" s="62" customFormat="1" ht="14.7" customHeight="1" thickTop="1">
      <c r="A49" s="213" t="s">
        <v>108</v>
      </c>
      <c r="B49" s="224" t="s">
        <v>104</v>
      </c>
      <c r="C49" s="226" t="s">
        <v>88</v>
      </c>
      <c r="D49" s="226" t="s">
        <v>105</v>
      </c>
      <c r="E49" s="227" t="s">
        <v>106</v>
      </c>
      <c r="F49" s="69"/>
      <c r="G49" s="69"/>
      <c r="H49" s="69"/>
      <c r="I49" s="69"/>
      <c r="J49" s="69"/>
      <c r="K49" s="69"/>
    </row>
    <row r="50" spans="1:11" s="62" customFormat="1" ht="10.8" thickBot="1">
      <c r="A50" s="214"/>
      <c r="B50" s="225"/>
      <c r="C50" s="218"/>
      <c r="D50" s="218"/>
      <c r="E50" s="228"/>
      <c r="F50" s="69"/>
      <c r="G50" s="69"/>
      <c r="H50" s="69"/>
      <c r="I50" s="69"/>
      <c r="J50" s="69"/>
      <c r="K50" s="69"/>
    </row>
    <row r="51" spans="1:11" s="62" customFormat="1" thickTop="1">
      <c r="A51" s="80" t="s">
        <v>89</v>
      </c>
      <c r="B51" s="81">
        <v>169.69186261107311</v>
      </c>
      <c r="C51" s="81">
        <v>203.5</v>
      </c>
      <c r="D51" s="81">
        <v>325.08</v>
      </c>
      <c r="E51" s="82">
        <f>D51/C51-1</f>
        <v>0.59744471744471728</v>
      </c>
      <c r="F51" s="69"/>
      <c r="G51" s="69"/>
      <c r="H51" s="69"/>
      <c r="I51" s="69"/>
      <c r="J51" s="69"/>
      <c r="K51" s="69"/>
    </row>
    <row r="52" spans="1:11" s="62" customFormat="1" ht="12.6">
      <c r="A52" s="83" t="s">
        <v>90</v>
      </c>
      <c r="B52" s="84">
        <v>178.31247922077924</v>
      </c>
      <c r="C52" s="84">
        <v>214.38</v>
      </c>
      <c r="D52" s="84">
        <v>346.69</v>
      </c>
      <c r="E52" s="85">
        <f t="shared" ref="E52:E62" si="2">D52/C52-1</f>
        <v>0.61717510961843458</v>
      </c>
      <c r="F52" s="69"/>
      <c r="G52" s="69"/>
      <c r="H52" s="69"/>
      <c r="I52" s="69"/>
      <c r="J52" s="69"/>
      <c r="K52" s="69"/>
    </row>
    <row r="53" spans="1:11" s="62" customFormat="1" ht="12.6">
      <c r="A53" s="83" t="s">
        <v>91</v>
      </c>
      <c r="B53" s="84">
        <v>178.7964813852814</v>
      </c>
      <c r="C53" s="84">
        <v>222.7</v>
      </c>
      <c r="D53" s="84">
        <v>342.84</v>
      </c>
      <c r="E53" s="85">
        <f t="shared" si="2"/>
        <v>0.5394701392007184</v>
      </c>
      <c r="F53" s="69"/>
      <c r="G53" s="69"/>
      <c r="H53" s="69"/>
      <c r="I53" s="69"/>
      <c r="J53" s="69"/>
      <c r="K53" s="69"/>
    </row>
    <row r="54" spans="1:11" s="62" customFormat="1" ht="12.6">
      <c r="A54" s="83" t="s">
        <v>92</v>
      </c>
      <c r="B54" s="84">
        <v>189.36228778467913</v>
      </c>
      <c r="C54" s="84">
        <v>241.25</v>
      </c>
      <c r="D54" s="84">
        <v>348.44</v>
      </c>
      <c r="E54" s="85">
        <f t="shared" si="2"/>
        <v>0.44431088082901549</v>
      </c>
      <c r="F54" s="69"/>
      <c r="G54" s="69"/>
      <c r="H54" s="69"/>
      <c r="I54" s="69"/>
      <c r="J54" s="69"/>
      <c r="K54" s="69"/>
    </row>
    <row r="55" spans="1:11" s="62" customFormat="1" ht="12.6">
      <c r="A55" s="83" t="s">
        <v>93</v>
      </c>
      <c r="B55" s="84">
        <v>194.47630802005011</v>
      </c>
      <c r="C55" s="84">
        <v>252.47</v>
      </c>
      <c r="D55" s="84">
        <v>325.89999999999998</v>
      </c>
      <c r="E55" s="85">
        <f t="shared" si="2"/>
        <v>0.29084643720045933</v>
      </c>
      <c r="F55" s="69"/>
      <c r="G55" s="69"/>
      <c r="H55" s="69"/>
      <c r="I55" s="69"/>
      <c r="J55" s="69"/>
      <c r="K55" s="69"/>
    </row>
    <row r="56" spans="1:11" s="62" customFormat="1" ht="12.6">
      <c r="A56" s="83" t="s">
        <v>94</v>
      </c>
      <c r="B56" s="84">
        <v>191.73595833333334</v>
      </c>
      <c r="C56" s="84">
        <v>249.72</v>
      </c>
      <c r="D56" s="84">
        <v>296.52</v>
      </c>
      <c r="E56" s="85">
        <f t="shared" si="2"/>
        <v>0.18740989908697725</v>
      </c>
      <c r="F56" s="69"/>
      <c r="G56" s="69"/>
      <c r="H56" s="69"/>
      <c r="I56" s="69"/>
      <c r="J56" s="69"/>
      <c r="K56" s="69"/>
    </row>
    <row r="57" spans="1:11" s="64" customFormat="1" ht="12.9" customHeight="1">
      <c r="A57" s="83" t="s">
        <v>95</v>
      </c>
      <c r="B57" s="84">
        <v>194.06306079592923</v>
      </c>
      <c r="C57" s="84">
        <v>251.08</v>
      </c>
      <c r="D57" s="84">
        <v>291.83999999999997</v>
      </c>
      <c r="E57" s="85">
        <f t="shared" si="2"/>
        <v>0.16233869682969559</v>
      </c>
      <c r="F57" s="70"/>
      <c r="G57" s="70"/>
      <c r="H57" s="70"/>
      <c r="I57" s="70"/>
      <c r="J57" s="70"/>
      <c r="K57" s="70"/>
    </row>
    <row r="58" spans="1:11" s="62" customFormat="1" ht="12.9" customHeight="1">
      <c r="A58" s="83" t="s">
        <v>96</v>
      </c>
      <c r="B58" s="84">
        <v>192.13846797385622</v>
      </c>
      <c r="C58" s="84">
        <v>261.27999999999997</v>
      </c>
      <c r="D58" s="84">
        <v>301.8</v>
      </c>
      <c r="E58" s="85">
        <f t="shared" si="2"/>
        <v>0.15508266993263953</v>
      </c>
      <c r="F58" s="69"/>
      <c r="G58" s="69"/>
      <c r="H58" s="69"/>
      <c r="I58" s="69"/>
      <c r="J58" s="69"/>
      <c r="K58" s="69"/>
    </row>
    <row r="59" spans="1:11" s="62" customFormat="1" ht="12.9" customHeight="1">
      <c r="A59" s="83" t="s">
        <v>97</v>
      </c>
      <c r="B59" s="84">
        <v>211.85440993788819</v>
      </c>
      <c r="C59" s="84">
        <v>361.98</v>
      </c>
      <c r="D59" s="84">
        <v>279.04000000000002</v>
      </c>
      <c r="E59" s="85">
        <f t="shared" si="2"/>
        <v>-0.22912868114260454</v>
      </c>
      <c r="F59" s="69"/>
      <c r="G59" s="69"/>
      <c r="H59" s="69"/>
      <c r="I59" s="69"/>
      <c r="J59" s="69"/>
      <c r="K59" s="69"/>
    </row>
    <row r="60" spans="1:11" s="62" customFormat="1" ht="12.9" customHeight="1">
      <c r="A60" s="83" t="s">
        <v>98</v>
      </c>
      <c r="B60" s="84">
        <v>210.47382499999998</v>
      </c>
      <c r="C60" s="84">
        <v>347.21</v>
      </c>
      <c r="D60" s="84">
        <v>258.83</v>
      </c>
      <c r="E60" s="85">
        <f t="shared" si="2"/>
        <v>-0.25454335992626942</v>
      </c>
      <c r="F60" s="69"/>
      <c r="G60" s="69"/>
      <c r="H60" s="69"/>
      <c r="I60" s="69"/>
      <c r="J60" s="69"/>
      <c r="K60" s="69"/>
    </row>
    <row r="61" spans="1:11" s="62" customFormat="1" ht="12.9" customHeight="1">
      <c r="A61" s="83" t="s">
        <v>99</v>
      </c>
      <c r="B61" s="84">
        <v>210.60489718614718</v>
      </c>
      <c r="C61" s="84">
        <v>365.06</v>
      </c>
      <c r="D61" s="84">
        <v>232.87</v>
      </c>
      <c r="E61" s="85">
        <f t="shared" si="2"/>
        <v>-0.36210485947515481</v>
      </c>
      <c r="F61" s="69"/>
      <c r="G61" s="69"/>
      <c r="H61" s="69"/>
      <c r="I61" s="69"/>
      <c r="J61" s="69"/>
      <c r="K61" s="69"/>
    </row>
    <row r="62" spans="1:11" s="62" customFormat="1" ht="12.9" customHeight="1" thickBot="1">
      <c r="A62" s="86" t="s">
        <v>100</v>
      </c>
      <c r="B62" s="87">
        <v>168.59603497379814</v>
      </c>
      <c r="C62" s="87">
        <v>325.67</v>
      </c>
      <c r="D62" s="87">
        <v>239.06</v>
      </c>
      <c r="E62" s="88">
        <f t="shared" si="2"/>
        <v>-0.2659440537967882</v>
      </c>
      <c r="F62" s="69"/>
      <c r="G62" s="69"/>
      <c r="H62" s="69"/>
      <c r="I62" s="71"/>
      <c r="J62" s="69"/>
      <c r="K62" s="69"/>
    </row>
    <row r="63" spans="1:11" ht="13.8" thickTop="1">
      <c r="A63" s="71" t="s">
        <v>101</v>
      </c>
      <c r="B63" s="70"/>
      <c r="C63" s="71"/>
      <c r="D63" s="71"/>
      <c r="E63" s="71"/>
      <c r="F63" s="71"/>
      <c r="G63" s="71" t="s">
        <v>101</v>
      </c>
      <c r="H63" s="71"/>
      <c r="I63" s="71"/>
      <c r="J63" s="71"/>
      <c r="K63" s="71"/>
    </row>
    <row r="64" spans="1:1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1:1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1:1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1:1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1:1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</row>
  </sheetData>
  <sheetProtection selectLockedCells="1" selectUnlockedCells="1"/>
  <mergeCells count="19">
    <mergeCell ref="F48:K48"/>
    <mergeCell ref="A49:A50"/>
    <mergeCell ref="B49:B50"/>
    <mergeCell ref="C49:C50"/>
    <mergeCell ref="D49:D50"/>
    <mergeCell ref="E49:E50"/>
    <mergeCell ref="G12:I12"/>
    <mergeCell ref="A28:E28"/>
    <mergeCell ref="A30:A31"/>
    <mergeCell ref="B30:B31"/>
    <mergeCell ref="C30:C31"/>
    <mergeCell ref="D30:D31"/>
    <mergeCell ref="E30:E31"/>
    <mergeCell ref="A9:F9"/>
    <mergeCell ref="A11:A12"/>
    <mergeCell ref="B11:B12"/>
    <mergeCell ref="C11:C12"/>
    <mergeCell ref="D11:D12"/>
    <mergeCell ref="E11:E1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workbookViewId="0">
      <selection activeCell="I39" sqref="I39"/>
    </sheetView>
  </sheetViews>
  <sheetFormatPr baseColWidth="10" defaultColWidth="11.5546875" defaultRowHeight="13.8"/>
  <cols>
    <col min="1" max="16384" width="11.5546875" style="91"/>
  </cols>
  <sheetData>
    <row r="1" spans="1:18" ht="14.4">
      <c r="A1" s="89" t="s">
        <v>109</v>
      </c>
      <c r="B1" s="90"/>
      <c r="C1" s="90"/>
      <c r="D1" s="90"/>
      <c r="E1" s="90"/>
    </row>
    <row r="2" spans="1:18" ht="14.4" thickBot="1">
      <c r="A2" s="90"/>
      <c r="B2" s="90"/>
      <c r="C2" s="90"/>
      <c r="D2" s="90"/>
      <c r="E2" s="90"/>
    </row>
    <row r="3" spans="1:18" ht="30" customHeight="1" thickTop="1">
      <c r="A3" s="213" t="s">
        <v>108</v>
      </c>
      <c r="B3" s="224" t="s">
        <v>104</v>
      </c>
      <c r="C3" s="226" t="s">
        <v>88</v>
      </c>
      <c r="D3" s="226" t="s">
        <v>105</v>
      </c>
      <c r="E3" s="227" t="s">
        <v>110</v>
      </c>
    </row>
    <row r="4" spans="1:18" ht="14.4" thickBot="1">
      <c r="A4" s="214" t="s">
        <v>89</v>
      </c>
      <c r="B4" s="225">
        <v>395.50833333333333</v>
      </c>
      <c r="C4" s="218">
        <v>533.66666666666663</v>
      </c>
      <c r="D4" s="218">
        <v>652.33000000000004</v>
      </c>
      <c r="E4" s="228">
        <f t="shared" ref="E4:E15" si="0">D4/C4-1</f>
        <v>0.22235477826358552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4.4" thickTop="1">
      <c r="A5" s="80" t="s">
        <v>90</v>
      </c>
      <c r="B5" s="81">
        <v>407.18333333333334</v>
      </c>
      <c r="C5" s="81">
        <v>558</v>
      </c>
      <c r="D5" s="81">
        <v>628.5</v>
      </c>
      <c r="E5" s="82">
        <f t="shared" si="0"/>
        <v>0.12634408602150549</v>
      </c>
    </row>
    <row r="6" spans="1:18">
      <c r="A6" s="83" t="s">
        <v>91</v>
      </c>
      <c r="B6" s="84">
        <v>417.92500000000001</v>
      </c>
      <c r="C6" s="84">
        <v>604</v>
      </c>
      <c r="D6" s="84">
        <v>598.70000000000005</v>
      </c>
      <c r="E6" s="85">
        <f t="shared" si="0"/>
        <v>-8.7748344370860432E-3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8">
      <c r="A7" s="83" t="s">
        <v>92</v>
      </c>
      <c r="B7" s="84">
        <v>433.32499999999999</v>
      </c>
      <c r="C7" s="84">
        <v>669.375</v>
      </c>
      <c r="D7" s="84">
        <v>627.38</v>
      </c>
      <c r="E7" s="85">
        <f t="shared" si="0"/>
        <v>-6.2737628384687216E-2</v>
      </c>
    </row>
    <row r="8" spans="1:18">
      <c r="A8" s="83" t="s">
        <v>93</v>
      </c>
      <c r="B8" s="84">
        <v>446.62333333333333</v>
      </c>
      <c r="C8" s="84">
        <v>695.66666666666663</v>
      </c>
      <c r="D8" s="84">
        <v>617</v>
      </c>
      <c r="E8" s="85">
        <f t="shared" si="0"/>
        <v>-0.11308097747963575</v>
      </c>
    </row>
    <row r="9" spans="1:18">
      <c r="A9" s="83" t="s">
        <v>94</v>
      </c>
      <c r="B9" s="84">
        <v>442.73333333333341</v>
      </c>
      <c r="C9" s="84">
        <v>683.33333333333337</v>
      </c>
      <c r="D9" s="84">
        <v>572.66999999999996</v>
      </c>
      <c r="E9" s="85">
        <f t="shared" si="0"/>
        <v>-0.16194634146341469</v>
      </c>
    </row>
    <row r="10" spans="1:18">
      <c r="A10" s="83" t="s">
        <v>95</v>
      </c>
      <c r="B10" s="84">
        <v>456.5</v>
      </c>
      <c r="C10" s="84">
        <v>734</v>
      </c>
      <c r="D10" s="84">
        <v>548.88</v>
      </c>
      <c r="E10" s="85">
        <f t="shared" si="0"/>
        <v>-0.25220708446866491</v>
      </c>
    </row>
    <row r="11" spans="1:18">
      <c r="A11" s="83" t="s">
        <v>96</v>
      </c>
      <c r="B11" s="84">
        <v>455.25</v>
      </c>
      <c r="C11" s="84">
        <v>727.25</v>
      </c>
      <c r="D11" s="84">
        <v>541.25</v>
      </c>
      <c r="E11" s="85">
        <f t="shared" si="0"/>
        <v>-0.25575799243726371</v>
      </c>
    </row>
    <row r="12" spans="1:18">
      <c r="A12" s="83" t="s">
        <v>97</v>
      </c>
      <c r="B12" s="84">
        <v>528.125</v>
      </c>
      <c r="C12" s="84">
        <v>910.2</v>
      </c>
      <c r="D12" s="84">
        <v>471.1</v>
      </c>
      <c r="E12" s="85">
        <f t="shared" si="0"/>
        <v>-0.48242144583607993</v>
      </c>
    </row>
    <row r="13" spans="1:18">
      <c r="A13" s="83" t="s">
        <v>98</v>
      </c>
      <c r="B13" s="84">
        <v>511.86666666666662</v>
      </c>
      <c r="C13" s="84">
        <v>1008.5</v>
      </c>
      <c r="D13" s="84">
        <v>427.17</v>
      </c>
      <c r="E13" s="85">
        <f t="shared" si="0"/>
        <v>-0.57643034209221611</v>
      </c>
    </row>
    <row r="14" spans="1:18">
      <c r="A14" s="83" t="s">
        <v>99</v>
      </c>
      <c r="B14" s="84">
        <v>485.41666666666669</v>
      </c>
      <c r="C14" s="84">
        <v>836.5</v>
      </c>
      <c r="D14" s="84">
        <v>416.17</v>
      </c>
      <c r="E14" s="85">
        <f t="shared" si="0"/>
        <v>-0.50248655110579787</v>
      </c>
    </row>
    <row r="15" spans="1:18" ht="14.4" thickBot="1">
      <c r="A15" s="86" t="s">
        <v>100</v>
      </c>
      <c r="B15" s="87">
        <v>458.39</v>
      </c>
      <c r="C15" s="87">
        <v>744</v>
      </c>
      <c r="D15" s="87">
        <v>426.5</v>
      </c>
      <c r="E15" s="88">
        <f t="shared" si="0"/>
        <v>-0.426747311827957</v>
      </c>
    </row>
    <row r="16" spans="1:18" ht="14.4" thickTop="1">
      <c r="A16" s="90" t="s">
        <v>101</v>
      </c>
      <c r="B16" s="93"/>
      <c r="C16" s="90"/>
      <c r="D16" s="90"/>
      <c r="E16" s="90"/>
    </row>
    <row r="17" spans="1:17">
      <c r="A17" s="90"/>
      <c r="B17" s="90"/>
      <c r="C17" s="90"/>
      <c r="D17" s="90"/>
      <c r="E17" s="90"/>
    </row>
    <row r="18" spans="1:17" ht="14.4">
      <c r="A18" s="89" t="s">
        <v>111</v>
      </c>
      <c r="B18" s="90"/>
      <c r="C18" s="90"/>
      <c r="D18" s="90"/>
      <c r="E18" s="90"/>
    </row>
    <row r="19" spans="1:17" ht="14.4" thickBot="1">
      <c r="A19" s="90"/>
      <c r="B19" s="90"/>
      <c r="C19" s="90"/>
      <c r="D19" s="90"/>
      <c r="E19" s="90"/>
    </row>
    <row r="20" spans="1:17" ht="31.95" customHeight="1" thickTop="1">
      <c r="A20" s="213" t="s">
        <v>108</v>
      </c>
      <c r="B20" s="215" t="s">
        <v>112</v>
      </c>
      <c r="C20" s="217" t="s">
        <v>113</v>
      </c>
      <c r="D20" s="217" t="s">
        <v>88</v>
      </c>
      <c r="E20" s="219" t="s">
        <v>110</v>
      </c>
    </row>
    <row r="21" spans="1:17" ht="14.4" thickBot="1">
      <c r="A21" s="214" t="s">
        <v>89</v>
      </c>
      <c r="B21" s="216">
        <v>357.16666666666663</v>
      </c>
      <c r="C21" s="218">
        <v>478.33333333333331</v>
      </c>
      <c r="D21" s="218">
        <v>636.66999999999996</v>
      </c>
      <c r="E21" s="220">
        <v>510</v>
      </c>
    </row>
    <row r="22" spans="1:17" ht="14.4" thickTop="1">
      <c r="A22" s="142" t="s">
        <v>90</v>
      </c>
      <c r="B22" s="143">
        <v>365.6</v>
      </c>
      <c r="C22" s="143">
        <v>510</v>
      </c>
      <c r="D22" s="143">
        <v>642.5</v>
      </c>
      <c r="E22" s="144">
        <f t="shared" ref="E22:E32" si="1">D22/C22-1</f>
        <v>0.25980392156862742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>
      <c r="A23" s="145" t="s">
        <v>91</v>
      </c>
      <c r="B23" s="146">
        <v>374.05</v>
      </c>
      <c r="C23" s="146">
        <v>536</v>
      </c>
      <c r="D23" s="146">
        <v>585</v>
      </c>
      <c r="E23" s="147">
        <f t="shared" si="1"/>
        <v>9.1417910447761264E-2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>
      <c r="A24" s="145" t="s">
        <v>92</v>
      </c>
      <c r="B24" s="146">
        <v>392</v>
      </c>
      <c r="C24" s="146">
        <v>603.75</v>
      </c>
      <c r="D24" s="146">
        <v>639.38</v>
      </c>
      <c r="E24" s="147">
        <f t="shared" si="1"/>
        <v>5.9014492753623138E-2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>
      <c r="A25" s="145" t="s">
        <v>93</v>
      </c>
      <c r="B25" s="146">
        <v>404.65333333333331</v>
      </c>
      <c r="C25" s="146">
        <v>601.66666666666663</v>
      </c>
      <c r="D25" s="146">
        <v>635</v>
      </c>
      <c r="E25" s="147">
        <f t="shared" si="1"/>
        <v>5.5401662049861633E-2</v>
      </c>
    </row>
    <row r="26" spans="1:17">
      <c r="A26" s="145" t="s">
        <v>94</v>
      </c>
      <c r="B26" s="146">
        <v>401.5</v>
      </c>
      <c r="C26" s="146">
        <v>536.66666666666663</v>
      </c>
      <c r="D26" s="146">
        <v>578.33000000000004</v>
      </c>
      <c r="E26" s="147">
        <f t="shared" si="1"/>
        <v>7.7633540372670895E-2</v>
      </c>
    </row>
    <row r="27" spans="1:17">
      <c r="A27" s="145" t="s">
        <v>95</v>
      </c>
      <c r="B27" s="146">
        <v>414.3</v>
      </c>
      <c r="C27" s="146">
        <v>580</v>
      </c>
      <c r="D27" s="146">
        <v>562.5</v>
      </c>
      <c r="E27" s="147">
        <f t="shared" si="1"/>
        <v>-3.0172413793103425E-2</v>
      </c>
    </row>
    <row r="28" spans="1:17">
      <c r="A28" s="145" t="s">
        <v>96</v>
      </c>
      <c r="B28" s="146">
        <v>423.9</v>
      </c>
      <c r="C28" s="146">
        <v>611.25</v>
      </c>
      <c r="D28" s="146">
        <v>560</v>
      </c>
      <c r="E28" s="147">
        <f t="shared" si="1"/>
        <v>-8.3844580777096112E-2</v>
      </c>
    </row>
    <row r="29" spans="1:17">
      <c r="A29" s="145" t="s">
        <v>97</v>
      </c>
      <c r="B29" s="146">
        <v>514.38750000000005</v>
      </c>
      <c r="C29" s="146">
        <v>862</v>
      </c>
      <c r="D29" s="146">
        <v>477.5</v>
      </c>
      <c r="E29" s="147">
        <f t="shared" si="1"/>
        <v>-0.44605568445475641</v>
      </c>
    </row>
    <row r="30" spans="1:17">
      <c r="A30" s="145" t="s">
        <v>98</v>
      </c>
      <c r="B30" s="146">
        <v>455.9</v>
      </c>
      <c r="C30" s="146">
        <v>853.75</v>
      </c>
      <c r="D30" s="146">
        <v>458.13</v>
      </c>
      <c r="E30" s="147">
        <f t="shared" si="1"/>
        <v>-0.4633909224011713</v>
      </c>
    </row>
    <row r="31" spans="1:17">
      <c r="A31" s="145" t="s">
        <v>99</v>
      </c>
      <c r="B31" s="146">
        <v>458.5</v>
      </c>
      <c r="C31" s="146">
        <v>820</v>
      </c>
      <c r="D31" s="146">
        <v>431.67</v>
      </c>
      <c r="E31" s="147">
        <f t="shared" si="1"/>
        <v>-0.47357317073170735</v>
      </c>
    </row>
    <row r="32" spans="1:17" ht="14.4" thickBot="1">
      <c r="A32" s="148" t="s">
        <v>100</v>
      </c>
      <c r="B32" s="149">
        <v>430.25</v>
      </c>
      <c r="C32" s="149">
        <v>680</v>
      </c>
      <c r="D32" s="149">
        <v>423</v>
      </c>
      <c r="E32" s="150">
        <f t="shared" si="1"/>
        <v>-0.37794117647058822</v>
      </c>
    </row>
    <row r="33" spans="1:5" ht="14.4" thickTop="1">
      <c r="A33" s="90" t="s">
        <v>101</v>
      </c>
      <c r="B33" s="93"/>
      <c r="C33" s="90"/>
      <c r="D33" s="90"/>
      <c r="E33" s="90"/>
    </row>
  </sheetData>
  <mergeCells count="10">
    <mergeCell ref="A3:A4"/>
    <mergeCell ref="B3:B4"/>
    <mergeCell ref="C3:C4"/>
    <mergeCell ref="D3:D4"/>
    <mergeCell ref="E3:E4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"/>
  <sheetViews>
    <sheetView topLeftCell="A4" zoomScale="90" zoomScaleNormal="90" workbookViewId="0">
      <selection activeCell="X11" sqref="X11"/>
    </sheetView>
  </sheetViews>
  <sheetFormatPr baseColWidth="10" defaultColWidth="11.5546875" defaultRowHeight="12" customHeight="1"/>
  <cols>
    <col min="1" max="1" width="20" style="95" customWidth="1"/>
    <col min="2" max="11" width="7.6640625" style="96" customWidth="1"/>
    <col min="12" max="12" width="10.33203125" style="96" customWidth="1"/>
    <col min="13" max="13" width="6.6640625" style="99" customWidth="1"/>
    <col min="14" max="14" width="10.6640625" style="99" customWidth="1"/>
    <col min="15" max="15" width="7.6640625" style="99" customWidth="1"/>
    <col min="16" max="16" width="6.33203125" style="99" customWidth="1"/>
    <col min="17" max="17" width="5.5546875" style="96" customWidth="1"/>
    <col min="18" max="18" width="7" style="96" customWidth="1"/>
    <col min="19" max="19" width="6" style="96" customWidth="1"/>
    <col min="20" max="20" width="6.6640625" style="96" customWidth="1"/>
    <col min="21" max="21" width="8" style="98" customWidth="1"/>
    <col min="22" max="22" width="7.6640625" style="96" customWidth="1"/>
    <col min="23" max="24" width="14.33203125" style="96" customWidth="1"/>
    <col min="25" max="25" width="20.109375" style="96" customWidth="1"/>
    <col min="26" max="16384" width="11.5546875" style="96"/>
  </cols>
  <sheetData>
    <row r="2" spans="1:26" ht="1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7"/>
      <c r="O2" s="97"/>
      <c r="P2" s="97"/>
    </row>
    <row r="3" spans="1:26" ht="12" customHeight="1">
      <c r="Q3" s="100"/>
      <c r="R3" s="100"/>
      <c r="S3" s="100"/>
      <c r="T3" s="100"/>
      <c r="U3" s="101"/>
      <c r="V3" s="100"/>
    </row>
    <row r="6" spans="1:26" ht="15" customHeigh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N6" s="97"/>
      <c r="O6" s="97"/>
      <c r="P6" s="97"/>
    </row>
    <row r="7" spans="1:26" ht="15" customHeight="1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97"/>
      <c r="O7" s="97"/>
      <c r="P7" s="97"/>
    </row>
    <row r="8" spans="1:26" ht="15" customHeight="1">
      <c r="B8" s="102" t="s">
        <v>114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7"/>
      <c r="O8" s="97"/>
      <c r="P8" s="97"/>
    </row>
    <row r="9" spans="1:26" ht="1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26" ht="24.6" customHeight="1" thickBot="1">
      <c r="A10" s="100" t="s">
        <v>115</v>
      </c>
      <c r="B10" s="105">
        <v>36526</v>
      </c>
      <c r="C10" s="106">
        <v>36892</v>
      </c>
      <c r="D10" s="105">
        <v>37257</v>
      </c>
      <c r="E10" s="106">
        <v>37622</v>
      </c>
      <c r="F10" s="105">
        <v>37987</v>
      </c>
      <c r="G10" s="106">
        <v>38353</v>
      </c>
      <c r="H10" s="105">
        <v>38718</v>
      </c>
      <c r="I10" s="106">
        <v>39083</v>
      </c>
      <c r="J10" s="105">
        <v>39448</v>
      </c>
      <c r="K10" s="106">
        <v>39814</v>
      </c>
      <c r="L10" s="105">
        <v>40179</v>
      </c>
      <c r="M10" s="106">
        <v>40544</v>
      </c>
      <c r="N10" s="105">
        <v>40909</v>
      </c>
      <c r="O10" s="106">
        <v>41275</v>
      </c>
      <c r="P10" s="105">
        <v>41640</v>
      </c>
      <c r="Q10" s="106">
        <v>42005</v>
      </c>
      <c r="R10" s="105">
        <v>42370</v>
      </c>
      <c r="S10" s="105">
        <v>42737</v>
      </c>
      <c r="T10" s="105">
        <v>43103</v>
      </c>
      <c r="U10" s="105">
        <v>43468</v>
      </c>
      <c r="V10" s="105">
        <v>43832</v>
      </c>
      <c r="W10" s="182">
        <v>2021</v>
      </c>
      <c r="X10" s="174">
        <v>2022</v>
      </c>
      <c r="Y10" s="179" t="s">
        <v>150</v>
      </c>
      <c r="Z10" s="177"/>
    </row>
    <row r="11" spans="1:26" s="113" customFormat="1" ht="15" customHeight="1">
      <c r="A11" s="107" t="s">
        <v>116</v>
      </c>
      <c r="B11" s="108">
        <v>235.54</v>
      </c>
      <c r="C11" s="109">
        <v>216.422</v>
      </c>
      <c r="D11" s="108">
        <v>227.13</v>
      </c>
      <c r="E11" s="108">
        <v>184.06</v>
      </c>
      <c r="F11" s="108">
        <v>221.899</v>
      </c>
      <c r="G11" s="108">
        <v>204.197</v>
      </c>
      <c r="H11" s="108">
        <v>213.56</v>
      </c>
      <c r="I11" s="108">
        <v>215.636</v>
      </c>
      <c r="J11" s="108">
        <v>243.68899999999999</v>
      </c>
      <c r="K11" s="108">
        <v>195.345</v>
      </c>
      <c r="L11" s="108">
        <v>239.19900000000001</v>
      </c>
      <c r="M11" s="108">
        <v>243.29599999999999</v>
      </c>
      <c r="N11" s="108">
        <v>258.57299999999998</v>
      </c>
      <c r="O11" s="108">
        <v>285.07799999999997</v>
      </c>
      <c r="P11" s="110">
        <v>296</v>
      </c>
      <c r="Q11" s="110">
        <v>294</v>
      </c>
      <c r="R11" s="110">
        <v>278</v>
      </c>
      <c r="S11" s="111">
        <v>265</v>
      </c>
      <c r="T11" s="111">
        <v>268</v>
      </c>
      <c r="U11" s="111">
        <v>287</v>
      </c>
      <c r="V11" s="111">
        <v>222</v>
      </c>
      <c r="W11" s="171">
        <v>277.5</v>
      </c>
      <c r="X11" s="175">
        <v>243.4</v>
      </c>
      <c r="Y11" s="180">
        <f>X11/W11-1</f>
        <v>-0.12288288288288285</v>
      </c>
      <c r="Z11" s="178"/>
    </row>
    <row r="12" spans="1:26" ht="13.95" customHeight="1" thickBot="1">
      <c r="A12" s="107" t="s">
        <v>117</v>
      </c>
      <c r="B12" s="114">
        <v>176.941</v>
      </c>
      <c r="C12" s="115">
        <v>172.572</v>
      </c>
      <c r="D12" s="114">
        <v>187.00700000000001</v>
      </c>
      <c r="E12" s="114">
        <v>184.81800000000001</v>
      </c>
      <c r="F12" s="114">
        <v>217.56299999999999</v>
      </c>
      <c r="G12" s="114">
        <v>229.52</v>
      </c>
      <c r="H12" s="114">
        <v>209.15100000000001</v>
      </c>
      <c r="I12" s="114">
        <v>212.74600000000001</v>
      </c>
      <c r="J12" s="114">
        <v>204.92</v>
      </c>
      <c r="K12" s="114">
        <v>179.42500000000001</v>
      </c>
      <c r="L12" s="114">
        <v>203.59700000000001</v>
      </c>
      <c r="M12" s="114">
        <v>172.60400000000001</v>
      </c>
      <c r="N12" s="114">
        <v>181.43700000000001</v>
      </c>
      <c r="O12" s="114">
        <v>144.184</v>
      </c>
      <c r="P12" s="116">
        <v>113.7</v>
      </c>
      <c r="Q12" s="116">
        <v>129</v>
      </c>
      <c r="R12" s="116">
        <v>149</v>
      </c>
      <c r="S12" s="117">
        <v>142</v>
      </c>
      <c r="T12" s="117">
        <v>139</v>
      </c>
      <c r="U12" s="117">
        <v>88</v>
      </c>
      <c r="V12" s="117">
        <v>85</v>
      </c>
      <c r="W12" s="172">
        <v>95.5</v>
      </c>
      <c r="X12" s="176">
        <v>85.4</v>
      </c>
      <c r="Y12" s="181">
        <f>X12/W12-1</f>
        <v>-0.10575916230366489</v>
      </c>
      <c r="Z12" s="178"/>
    </row>
    <row r="13" spans="1:26" ht="13.95" customHeight="1" thickBo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Q13" s="99"/>
      <c r="R13" s="99"/>
      <c r="S13" s="99"/>
      <c r="T13" s="99"/>
      <c r="U13" s="99"/>
      <c r="V13" s="99"/>
      <c r="W13" s="151"/>
      <c r="X13" s="151"/>
      <c r="Y13" s="99"/>
    </row>
    <row r="14" spans="1:26" ht="13.95" customHeight="1" thickBot="1">
      <c r="A14" s="95" t="s">
        <v>118</v>
      </c>
      <c r="B14" s="120">
        <f>B12+B11</f>
        <v>412.48099999999999</v>
      </c>
      <c r="C14" s="121">
        <f t="shared" ref="C14:R14" si="0">C12+C11</f>
        <v>388.99400000000003</v>
      </c>
      <c r="D14" s="120">
        <f t="shared" si="0"/>
        <v>414.137</v>
      </c>
      <c r="E14" s="121">
        <f t="shared" si="0"/>
        <v>368.87800000000004</v>
      </c>
      <c r="F14" s="120">
        <f t="shared" si="0"/>
        <v>439.46199999999999</v>
      </c>
      <c r="G14" s="121">
        <f t="shared" si="0"/>
        <v>433.71699999999998</v>
      </c>
      <c r="H14" s="120">
        <f t="shared" si="0"/>
        <v>422.71100000000001</v>
      </c>
      <c r="I14" s="121">
        <f t="shared" si="0"/>
        <v>428.38200000000001</v>
      </c>
      <c r="J14" s="120">
        <f t="shared" si="0"/>
        <v>448.60899999999998</v>
      </c>
      <c r="K14" s="121">
        <f t="shared" si="0"/>
        <v>374.77</v>
      </c>
      <c r="L14" s="120">
        <f t="shared" si="0"/>
        <v>442.79600000000005</v>
      </c>
      <c r="M14" s="121">
        <f t="shared" si="0"/>
        <v>415.9</v>
      </c>
      <c r="N14" s="120">
        <f t="shared" si="0"/>
        <v>440.01</v>
      </c>
      <c r="O14" s="121">
        <f t="shared" si="0"/>
        <v>429.26199999999994</v>
      </c>
      <c r="P14" s="120">
        <f t="shared" si="0"/>
        <v>409.7</v>
      </c>
      <c r="Q14" s="121">
        <f t="shared" si="0"/>
        <v>423</v>
      </c>
      <c r="R14" s="120">
        <f t="shared" si="0"/>
        <v>427</v>
      </c>
      <c r="S14" s="120">
        <f>S12+S11</f>
        <v>407</v>
      </c>
      <c r="T14" s="120">
        <f>T12+T11</f>
        <v>407</v>
      </c>
      <c r="U14" s="120">
        <f>U12+U11</f>
        <v>375</v>
      </c>
      <c r="V14" s="120">
        <v>307</v>
      </c>
      <c r="W14" s="183">
        <f>W11+W12</f>
        <v>373</v>
      </c>
      <c r="X14" s="185">
        <f>X11+X12</f>
        <v>328.8</v>
      </c>
      <c r="Y14" s="184">
        <f>X14/W14-1</f>
        <v>-0.11849865951742622</v>
      </c>
      <c r="Z14" s="112"/>
    </row>
    <row r="15" spans="1:26" ht="12" customHeight="1">
      <c r="A15" s="118"/>
      <c r="B15" s="95"/>
      <c r="C15" s="95"/>
      <c r="D15" s="95"/>
      <c r="E15" s="95"/>
      <c r="F15" s="95"/>
      <c r="G15" s="97"/>
      <c r="H15" s="95"/>
      <c r="I15" s="95"/>
      <c r="J15" s="95"/>
      <c r="K15" s="95"/>
      <c r="L15" s="95"/>
      <c r="M15" s="96"/>
      <c r="N15" s="97"/>
      <c r="O15" s="97"/>
      <c r="P15" s="97"/>
      <c r="Q15" s="122"/>
      <c r="R15" s="122"/>
      <c r="S15" s="122"/>
      <c r="T15" s="122"/>
    </row>
    <row r="16" spans="1:26" ht="15" customHeight="1">
      <c r="A16" s="95" t="s">
        <v>152</v>
      </c>
    </row>
    <row r="17" spans="15:21" ht="12" customHeight="1">
      <c r="O17" s="95"/>
    </row>
    <row r="18" spans="15:21" ht="12" customHeight="1">
      <c r="U18" s="123"/>
    </row>
    <row r="19" spans="15:21" ht="12" customHeight="1">
      <c r="U19" s="123"/>
    </row>
    <row r="39" spans="2:17" ht="12" customHeight="1">
      <c r="B39" s="95" t="s">
        <v>152</v>
      </c>
      <c r="G39" s="118"/>
    </row>
    <row r="42" spans="2:17" ht="12" customHeight="1">
      <c r="G42" s="95"/>
    </row>
    <row r="43" spans="2:17" ht="12" customHeight="1">
      <c r="G43" s="95"/>
      <c r="N43" s="124"/>
      <c r="Q43" s="124" t="s">
        <v>119</v>
      </c>
    </row>
    <row r="44" spans="2:17" ht="12" customHeight="1">
      <c r="G44" s="95"/>
    </row>
    <row r="46" spans="2:17" ht="12" customHeight="1">
      <c r="G46" s="95"/>
    </row>
    <row r="47" spans="2:17" ht="12" customHeight="1">
      <c r="G47" s="95"/>
    </row>
    <row r="48" spans="2:17" ht="12" customHeight="1">
      <c r="B48" s="124" t="s">
        <v>120</v>
      </c>
    </row>
    <row r="49" spans="1:22" ht="12" customHeight="1">
      <c r="I49" s="100"/>
      <c r="J49" s="100"/>
      <c r="M49" s="96"/>
      <c r="N49" s="96"/>
      <c r="O49" s="96"/>
      <c r="P49" s="96"/>
    </row>
    <row r="50" spans="1:22" ht="12" customHeight="1" thickBot="1">
      <c r="B50" s="125"/>
      <c r="C50" s="104"/>
      <c r="D50" s="104"/>
      <c r="E50" s="104"/>
      <c r="F50" s="104"/>
      <c r="G50" s="104"/>
      <c r="H50" s="104"/>
      <c r="M50" s="96"/>
      <c r="N50" s="96"/>
      <c r="O50" s="96"/>
      <c r="P50" s="96"/>
      <c r="U50" s="96"/>
    </row>
    <row r="51" spans="1:22" ht="32.25" customHeight="1" thickBot="1">
      <c r="A51" s="126" t="s">
        <v>115</v>
      </c>
      <c r="B51" s="127">
        <v>2010</v>
      </c>
      <c r="C51" s="128">
        <v>2011</v>
      </c>
      <c r="D51" s="128">
        <v>2012</v>
      </c>
      <c r="E51" s="128">
        <v>2013</v>
      </c>
      <c r="F51" s="128">
        <v>2014</v>
      </c>
      <c r="G51" s="128">
        <v>2015</v>
      </c>
      <c r="H51" s="128">
        <v>2016</v>
      </c>
      <c r="I51" s="128">
        <v>2017</v>
      </c>
      <c r="J51" s="128">
        <v>2018</v>
      </c>
      <c r="K51" s="128">
        <v>2019</v>
      </c>
      <c r="L51" s="128">
        <v>2020</v>
      </c>
      <c r="M51" s="186">
        <v>2021</v>
      </c>
      <c r="N51" s="194">
        <v>2022</v>
      </c>
      <c r="O51" s="189" t="s">
        <v>151</v>
      </c>
      <c r="P51" s="96"/>
      <c r="U51" s="96"/>
    </row>
    <row r="52" spans="1:22" ht="21" customHeight="1" thickBot="1">
      <c r="A52" s="129" t="s">
        <v>121</v>
      </c>
      <c r="B52" s="130">
        <f>203597/1000</f>
        <v>203.59700000000001</v>
      </c>
      <c r="C52" s="131">
        <f>172604/1000</f>
        <v>172.60400000000001</v>
      </c>
      <c r="D52" s="131">
        <f>181437/1000</f>
        <v>181.43700000000001</v>
      </c>
      <c r="E52" s="131">
        <f>144184/1000</f>
        <v>144.184</v>
      </c>
      <c r="F52" s="131">
        <f>113700/1000</f>
        <v>113.7</v>
      </c>
      <c r="G52" s="131">
        <f>114050/1000</f>
        <v>114.05</v>
      </c>
      <c r="H52" s="131">
        <v>141</v>
      </c>
      <c r="I52" s="131">
        <v>142</v>
      </c>
      <c r="J52" s="131">
        <v>139</v>
      </c>
      <c r="K52" s="131">
        <v>88</v>
      </c>
      <c r="L52" s="131">
        <v>85</v>
      </c>
      <c r="M52" s="187">
        <v>95.5</v>
      </c>
      <c r="N52" s="185">
        <v>85</v>
      </c>
      <c r="O52" s="190">
        <f>AVERAGE(I52:M52)</f>
        <v>109.9</v>
      </c>
      <c r="P52" s="96"/>
      <c r="U52" s="96"/>
    </row>
    <row r="53" spans="1:22" ht="13.95" customHeight="1" thickBot="1">
      <c r="A53" s="126" t="s">
        <v>122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96"/>
      <c r="O53" s="132"/>
      <c r="P53" s="96"/>
      <c r="U53" s="96"/>
    </row>
    <row r="54" spans="1:22" ht="13.95" customHeight="1">
      <c r="A54" s="133" t="s">
        <v>123</v>
      </c>
      <c r="B54" s="134">
        <f>60500/1000</f>
        <v>60.5</v>
      </c>
      <c r="C54" s="109">
        <f>50631/1000</f>
        <v>50.631</v>
      </c>
      <c r="D54" s="109">
        <f>55545/1000</f>
        <v>55.545000000000002</v>
      </c>
      <c r="E54" s="109">
        <f>44496/1000</f>
        <v>44.496000000000002</v>
      </c>
      <c r="F54" s="109">
        <f>33300/1000</f>
        <v>33.299999999999997</v>
      </c>
      <c r="G54" s="109">
        <v>43</v>
      </c>
      <c r="H54" s="109">
        <v>48</v>
      </c>
      <c r="I54" s="109">
        <v>48</v>
      </c>
      <c r="J54" s="109">
        <v>47</v>
      </c>
      <c r="K54" s="109">
        <v>31</v>
      </c>
      <c r="L54" s="109">
        <v>31</v>
      </c>
      <c r="M54" s="188">
        <v>33</v>
      </c>
      <c r="N54" s="195">
        <v>29</v>
      </c>
      <c r="O54" s="191">
        <f>AVERAGE(I54:M54)</f>
        <v>38</v>
      </c>
      <c r="P54" s="96"/>
      <c r="U54" s="96"/>
    </row>
    <row r="55" spans="1:22" ht="13.95" customHeight="1">
      <c r="A55" s="133" t="s">
        <v>124</v>
      </c>
      <c r="B55" s="134">
        <f>40695/1000</f>
        <v>40.695</v>
      </c>
      <c r="C55" s="109">
        <f>37280/1000</f>
        <v>37.28</v>
      </c>
      <c r="D55" s="109">
        <f>37210/1000</f>
        <v>37.21</v>
      </c>
      <c r="E55" s="109">
        <f>33300/1000</f>
        <v>33.299999999999997</v>
      </c>
      <c r="F55" s="109">
        <f>29700/1000</f>
        <v>29.7</v>
      </c>
      <c r="G55" s="109">
        <v>32</v>
      </c>
      <c r="H55" s="109">
        <v>34</v>
      </c>
      <c r="I55" s="109">
        <v>31</v>
      </c>
      <c r="J55" s="109">
        <v>30</v>
      </c>
      <c r="K55" s="109">
        <v>22</v>
      </c>
      <c r="L55" s="109">
        <v>22</v>
      </c>
      <c r="M55" s="188">
        <v>22</v>
      </c>
      <c r="N55" s="173">
        <v>20</v>
      </c>
      <c r="O55" s="191">
        <f t="shared" ref="O55:O58" si="1">AVERAGE(I55:M55)</f>
        <v>25.4</v>
      </c>
      <c r="P55" s="96"/>
      <c r="U55" s="96"/>
    </row>
    <row r="56" spans="1:22" ht="13.95" customHeight="1">
      <c r="A56" s="133" t="s">
        <v>125</v>
      </c>
      <c r="B56" s="134">
        <f>35470/1000</f>
        <v>35.47</v>
      </c>
      <c r="C56" s="109">
        <f>27813/1000</f>
        <v>27.812999999999999</v>
      </c>
      <c r="D56" s="109">
        <f>29944/1000</f>
        <v>29.943999999999999</v>
      </c>
      <c r="E56" s="109">
        <f>19977/1000</f>
        <v>19.977</v>
      </c>
      <c r="F56" s="109">
        <f>10900/1000</f>
        <v>10.9</v>
      </c>
      <c r="G56" s="109">
        <v>15</v>
      </c>
      <c r="H56" s="109">
        <v>18</v>
      </c>
      <c r="I56" s="109">
        <v>17</v>
      </c>
      <c r="J56" s="109">
        <v>18</v>
      </c>
      <c r="K56" s="109">
        <v>8</v>
      </c>
      <c r="L56" s="109">
        <v>9</v>
      </c>
      <c r="M56" s="188">
        <v>11</v>
      </c>
      <c r="N56" s="173">
        <v>11</v>
      </c>
      <c r="O56" s="191">
        <f t="shared" si="1"/>
        <v>12.6</v>
      </c>
      <c r="P56" s="96"/>
      <c r="U56" s="96"/>
    </row>
    <row r="57" spans="1:22" ht="13.95" customHeight="1" thickBot="1">
      <c r="A57" s="133" t="s">
        <v>78</v>
      </c>
      <c r="B57" s="134">
        <f>21755/1000</f>
        <v>21.754999999999999</v>
      </c>
      <c r="C57" s="109">
        <f>17885/1000</f>
        <v>17.885000000000002</v>
      </c>
      <c r="D57" s="109">
        <f>17445/1000</f>
        <v>17.445</v>
      </c>
      <c r="E57" s="109">
        <f>15100/1000</f>
        <v>15.1</v>
      </c>
      <c r="F57" s="109">
        <f>15300/1000</f>
        <v>15.3</v>
      </c>
      <c r="G57" s="109">
        <f>13000/1000</f>
        <v>13</v>
      </c>
      <c r="H57" s="109">
        <v>16</v>
      </c>
      <c r="I57" s="109">
        <v>13</v>
      </c>
      <c r="J57" s="109">
        <v>12</v>
      </c>
      <c r="K57" s="109">
        <v>8</v>
      </c>
      <c r="L57" s="109">
        <v>7</v>
      </c>
      <c r="M57" s="188">
        <v>9</v>
      </c>
      <c r="N57" s="173">
        <v>9</v>
      </c>
      <c r="O57" s="191">
        <f t="shared" si="1"/>
        <v>9.8000000000000007</v>
      </c>
      <c r="P57" s="96"/>
      <c r="U57" s="96"/>
    </row>
    <row r="58" spans="1:22" ht="13.95" customHeight="1" thickBot="1">
      <c r="A58" s="129" t="s">
        <v>126</v>
      </c>
      <c r="B58" s="120">
        <f t="shared" ref="B58:K58" si="2">SUM(B54:B57)</f>
        <v>158.41999999999999</v>
      </c>
      <c r="C58" s="121">
        <f t="shared" si="2"/>
        <v>133.60900000000001</v>
      </c>
      <c r="D58" s="121">
        <f t="shared" si="2"/>
        <v>140.14400000000001</v>
      </c>
      <c r="E58" s="121">
        <f t="shared" si="2"/>
        <v>112.87299999999999</v>
      </c>
      <c r="F58" s="121">
        <f t="shared" si="2"/>
        <v>89.2</v>
      </c>
      <c r="G58" s="121">
        <f t="shared" si="2"/>
        <v>103</v>
      </c>
      <c r="H58" s="121">
        <f t="shared" si="2"/>
        <v>116</v>
      </c>
      <c r="I58" s="121">
        <f t="shared" si="2"/>
        <v>109</v>
      </c>
      <c r="J58" s="121">
        <f>SUM(J54:J57)</f>
        <v>107</v>
      </c>
      <c r="K58" s="135">
        <f t="shared" si="2"/>
        <v>69</v>
      </c>
      <c r="L58" s="121">
        <v>69</v>
      </c>
      <c r="M58" s="135">
        <f>M54+M55+M56+M57</f>
        <v>75</v>
      </c>
      <c r="N58" s="185">
        <v>68</v>
      </c>
      <c r="O58" s="192">
        <f t="shared" si="1"/>
        <v>85.8</v>
      </c>
      <c r="P58" s="96"/>
      <c r="U58" s="96"/>
    </row>
    <row r="59" spans="1:22" ht="13.95" customHeight="1" thickBot="1">
      <c r="A59" s="129" t="s">
        <v>127</v>
      </c>
      <c r="B59" s="136">
        <f>B58/B52</f>
        <v>0.77810576776671547</v>
      </c>
      <c r="C59" s="137">
        <f t="shared" ref="C59:K59" si="3">C58/C52</f>
        <v>0.77407823688906396</v>
      </c>
      <c r="D59" s="137">
        <f t="shared" si="3"/>
        <v>0.77241136041711445</v>
      </c>
      <c r="E59" s="137">
        <f t="shared" si="3"/>
        <v>0.78283998224490925</v>
      </c>
      <c r="F59" s="137">
        <f t="shared" si="3"/>
        <v>0.78452066842568158</v>
      </c>
      <c r="G59" s="137">
        <f t="shared" si="3"/>
        <v>0.90311266988163086</v>
      </c>
      <c r="H59" s="137">
        <f t="shared" si="3"/>
        <v>0.82269503546099287</v>
      </c>
      <c r="I59" s="137">
        <f t="shared" si="3"/>
        <v>0.76760563380281688</v>
      </c>
      <c r="J59" s="137">
        <f>J58/J52</f>
        <v>0.76978417266187049</v>
      </c>
      <c r="K59" s="138">
        <f t="shared" si="3"/>
        <v>0.78409090909090906</v>
      </c>
      <c r="L59" s="137">
        <v>0.81179999999999997</v>
      </c>
      <c r="M59" s="138">
        <f>M58/M52</f>
        <v>0.78534031413612571</v>
      </c>
      <c r="N59" s="197">
        <f>N58/N52</f>
        <v>0.8</v>
      </c>
      <c r="O59" s="193">
        <f>O58/O52</f>
        <v>0.78070973612374883</v>
      </c>
      <c r="P59" s="96"/>
      <c r="U59" s="96"/>
    </row>
    <row r="60" spans="1:22" ht="12" customHeight="1">
      <c r="B60" s="95"/>
      <c r="C60" s="95"/>
      <c r="D60" s="95"/>
      <c r="E60" s="95"/>
      <c r="F60" s="95"/>
      <c r="G60" s="97"/>
      <c r="H60" s="97"/>
      <c r="I60" s="122"/>
      <c r="J60" s="122"/>
      <c r="M60" s="96"/>
      <c r="N60" s="96"/>
      <c r="O60" s="96"/>
      <c r="P60" s="96"/>
      <c r="U60" s="96"/>
    </row>
    <row r="61" spans="1:22" ht="15" customHeight="1">
      <c r="M61" s="96"/>
      <c r="N61" s="96"/>
      <c r="O61" s="96"/>
      <c r="P61" s="96"/>
      <c r="U61" s="96"/>
    </row>
    <row r="62" spans="1:22" ht="12" customHeight="1">
      <c r="A62" s="95" t="s">
        <v>153</v>
      </c>
      <c r="M62" s="96"/>
      <c r="N62" s="95"/>
      <c r="O62" s="96"/>
      <c r="P62" s="96"/>
      <c r="U62" s="96"/>
    </row>
    <row r="63" spans="1:22" ht="12" customHeight="1">
      <c r="M63" s="96"/>
      <c r="Q63" s="95" t="s">
        <v>153</v>
      </c>
      <c r="U63" s="96"/>
      <c r="V63" s="98"/>
    </row>
    <row r="64" spans="1:22" ht="12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40"/>
      <c r="M64" s="96"/>
      <c r="Q64" s="99"/>
      <c r="U64" s="96"/>
      <c r="V64" s="98"/>
    </row>
    <row r="65" spans="2:11" ht="12" customHeight="1">
      <c r="B65" s="141"/>
      <c r="C65" s="141"/>
      <c r="D65" s="141"/>
      <c r="E65" s="141"/>
      <c r="F65" s="141"/>
      <c r="G65" s="141"/>
      <c r="H65" s="141"/>
      <c r="I65" s="141"/>
      <c r="J65" s="141"/>
      <c r="K65" s="140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Méthodologie</vt:lpstr>
      <vt:lpstr>Calendrier_Estim_production</vt:lpstr>
      <vt:lpstr>GC_EstimProduction2022-2023</vt:lpstr>
      <vt:lpstr>cotations_cereales</vt:lpstr>
      <vt:lpstr>Cotations oleoproteagineux</vt:lpstr>
      <vt:lpstr>Evol.sole-régionale_Blés</vt:lpstr>
      <vt:lpstr>Excel_BuiltIn_Print_Area</vt:lpstr>
      <vt:lpstr>'GC_EstimProduction2022-2023'!Zone_d_impression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2023-08-04T10:24:37Z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