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mc:AlternateContent xmlns:mc="http://schemas.openxmlformats.org/markup-compatibility/2006">
    <mc:Choice Requires="x15">
      <x15ac:absPath xmlns:x15ac="http://schemas.microsoft.com/office/spreadsheetml/2010/11/ac" url="A:\02-politiques_publiques\13-connaissances_statistiques\06-suivi_conjoncturel\05-grandes cultures\2025\publi\novembre_2025\"/>
    </mc:Choice>
  </mc:AlternateContent>
  <xr:revisionPtr revIDLastSave="0" documentId="13_ncr:1_{BCAD1AC2-D947-44A5-84E5-148BB826AA84}" xr6:coauthVersionLast="47" xr6:coauthVersionMax="47" xr10:uidLastSave="{00000000-0000-0000-0000-000000000000}"/>
  <bookViews>
    <workbookView xWindow="28680" yWindow="-120" windowWidth="29040" windowHeight="15720" tabRatio="900" firstSheet="2" activeTab="2" xr2:uid="{00000000-000D-0000-FFFF-FFFF00000000}"/>
  </bookViews>
  <sheets>
    <sheet name="Sommaire&amp;Méthodo" sheetId="17" r:id="rId1"/>
    <sheet name="Calendrier_Estim_production" sheetId="2" r:id="rId2"/>
    <sheet name="GC_Estim1_11_SURF_RDT_24_25" sheetId="13" r:id="rId3"/>
    <sheet name="GC_Estim1_11_SURF_24_25" sheetId="15" r:id="rId4"/>
    <sheet name="GC_Estim1_11_RDT_24_25" sheetId="14" r:id="rId5"/>
    <sheet name="Cotations_cereales" sheetId="18" r:id="rId6"/>
    <sheet name="Cotations_oleoproteagineux" sheetId="19" r:id="rId7"/>
    <sheet name="Evol.sole-régionale_Blés" sheetId="20" r:id="rId8"/>
  </sheets>
  <calcPr calcId="191029"/>
  <customWorkbookViews>
    <customWorkbookView name="Utilisateur Windows - Affichage personnalisé" guid="{ED3D59C6-95D8-425D-B182-A385DC662969}" mergeInterval="0" personalView="1" maximized="1" xWindow="-2109" yWindow="-193" windowWidth="2118" windowHeight="1293" tabRatio="500" activeSheetId="4"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68" i="14" l="1"/>
  <c r="Q61" i="14"/>
  <c r="P61" i="15"/>
  <c r="Q61" i="15"/>
  <c r="P49" i="15"/>
  <c r="P77" i="15"/>
  <c r="O77" i="15"/>
  <c r="N77" i="15"/>
  <c r="M77" i="15"/>
  <c r="L77" i="15"/>
  <c r="K77" i="15"/>
  <c r="J77" i="15"/>
  <c r="I77" i="15"/>
  <c r="H77" i="15"/>
  <c r="G77" i="15"/>
  <c r="F77" i="15"/>
  <c r="E77" i="15"/>
  <c r="D77" i="15"/>
  <c r="P76" i="15"/>
  <c r="O76" i="15"/>
  <c r="N76" i="15"/>
  <c r="M76" i="15"/>
  <c r="L76" i="15"/>
  <c r="K76" i="15"/>
  <c r="J76" i="15"/>
  <c r="I76" i="15"/>
  <c r="H76" i="15"/>
  <c r="G76" i="15"/>
  <c r="F76" i="15"/>
  <c r="E76" i="15"/>
  <c r="D76" i="15"/>
  <c r="Q75" i="15"/>
  <c r="N75" i="15"/>
  <c r="M75" i="15"/>
  <c r="L75" i="15"/>
  <c r="K75" i="15"/>
  <c r="J75" i="15"/>
  <c r="I75" i="15"/>
  <c r="H75" i="15"/>
  <c r="G75" i="15"/>
  <c r="F75" i="15"/>
  <c r="E75" i="15"/>
  <c r="D75" i="15"/>
  <c r="D21" i="14"/>
  <c r="D20" i="14"/>
  <c r="D19" i="14"/>
  <c r="D68" i="15"/>
  <c r="D47" i="15"/>
  <c r="Q17" i="13"/>
  <c r="Q98" i="15"/>
  <c r="P98" i="15"/>
  <c r="N98" i="15"/>
  <c r="M98" i="15"/>
  <c r="L98" i="15"/>
  <c r="K98" i="15"/>
  <c r="J98" i="15"/>
  <c r="I98" i="15"/>
  <c r="H98" i="15"/>
  <c r="G98" i="15"/>
  <c r="F98" i="15"/>
  <c r="E98" i="15"/>
  <c r="D98" i="15"/>
  <c r="Q97" i="15"/>
  <c r="N97" i="15"/>
  <c r="M97" i="15"/>
  <c r="L97" i="15"/>
  <c r="K97" i="15"/>
  <c r="J97" i="15"/>
  <c r="I97" i="15"/>
  <c r="H97" i="15"/>
  <c r="G97" i="15"/>
  <c r="F97" i="15"/>
  <c r="E97" i="15"/>
  <c r="D97" i="15"/>
  <c r="Q96" i="15"/>
  <c r="N96" i="15"/>
  <c r="M96" i="15"/>
  <c r="L96" i="15"/>
  <c r="K96" i="15"/>
  <c r="J96" i="15"/>
  <c r="I96" i="15"/>
  <c r="H96" i="15"/>
  <c r="G96" i="15"/>
  <c r="F96" i="15"/>
  <c r="E96" i="15"/>
  <c r="D96" i="15"/>
  <c r="Q91" i="15"/>
  <c r="P91" i="15"/>
  <c r="O91" i="15"/>
  <c r="N91" i="15"/>
  <c r="M91" i="15"/>
  <c r="L91" i="15"/>
  <c r="K91" i="15"/>
  <c r="J91" i="15"/>
  <c r="I91" i="15"/>
  <c r="H91" i="15"/>
  <c r="G91" i="15"/>
  <c r="F91" i="15"/>
  <c r="E91" i="15"/>
  <c r="D91" i="15"/>
  <c r="Q90" i="15"/>
  <c r="P90" i="15"/>
  <c r="O90" i="15"/>
  <c r="N90" i="15"/>
  <c r="M90" i="15"/>
  <c r="L90" i="15"/>
  <c r="K90" i="15"/>
  <c r="J90" i="15"/>
  <c r="I90" i="15"/>
  <c r="H90" i="15"/>
  <c r="G90" i="15"/>
  <c r="F90" i="15"/>
  <c r="E90" i="15"/>
  <c r="D90" i="15"/>
  <c r="Q89" i="15"/>
  <c r="P89" i="15"/>
  <c r="O89" i="15"/>
  <c r="N89" i="15"/>
  <c r="M89" i="15"/>
  <c r="L89" i="15"/>
  <c r="K89" i="15"/>
  <c r="J89" i="15"/>
  <c r="I89" i="15"/>
  <c r="H89" i="15"/>
  <c r="G89" i="15"/>
  <c r="F89" i="15"/>
  <c r="E89" i="15"/>
  <c r="D89" i="15"/>
  <c r="P84" i="15"/>
  <c r="O84" i="15"/>
  <c r="N84" i="15"/>
  <c r="M84" i="15"/>
  <c r="L84" i="15"/>
  <c r="K84" i="15"/>
  <c r="J84" i="15"/>
  <c r="I84" i="15"/>
  <c r="H84" i="15"/>
  <c r="G84" i="15"/>
  <c r="F84" i="15"/>
  <c r="E84" i="15"/>
  <c r="D84" i="15"/>
  <c r="P83" i="15"/>
  <c r="O83" i="15"/>
  <c r="N83" i="15"/>
  <c r="M83" i="15"/>
  <c r="L83" i="15"/>
  <c r="K83" i="15"/>
  <c r="J83" i="15"/>
  <c r="I83" i="15"/>
  <c r="H83" i="15"/>
  <c r="G83" i="15"/>
  <c r="F83" i="15"/>
  <c r="E83" i="15"/>
  <c r="D83" i="15"/>
  <c r="P82" i="15"/>
  <c r="O82" i="15"/>
  <c r="N82" i="15"/>
  <c r="M82" i="15"/>
  <c r="L82" i="15"/>
  <c r="K82" i="15"/>
  <c r="J82" i="15"/>
  <c r="I82" i="15"/>
  <c r="H82" i="15"/>
  <c r="G82" i="15"/>
  <c r="F82" i="15"/>
  <c r="E82" i="15"/>
  <c r="D82" i="15"/>
  <c r="Q70" i="15"/>
  <c r="P70" i="15"/>
  <c r="N70" i="15"/>
  <c r="M70" i="15"/>
  <c r="L70" i="15"/>
  <c r="K70" i="15"/>
  <c r="J70" i="15"/>
  <c r="I70" i="15"/>
  <c r="H70" i="15"/>
  <c r="G70" i="15"/>
  <c r="F70" i="15"/>
  <c r="E70" i="15"/>
  <c r="D70" i="15"/>
  <c r="Q69" i="15"/>
  <c r="P69" i="15"/>
  <c r="N69" i="15"/>
  <c r="M69" i="15"/>
  <c r="L69" i="15"/>
  <c r="K69" i="15"/>
  <c r="J69" i="15"/>
  <c r="I69" i="15"/>
  <c r="H69" i="15"/>
  <c r="G69" i="15"/>
  <c r="F69" i="15"/>
  <c r="E69" i="15"/>
  <c r="D69" i="15"/>
  <c r="Q68" i="15"/>
  <c r="N68" i="15"/>
  <c r="M68" i="15"/>
  <c r="L68" i="15"/>
  <c r="K68" i="15"/>
  <c r="J68" i="15"/>
  <c r="I68" i="15"/>
  <c r="H68" i="15"/>
  <c r="G68" i="15"/>
  <c r="F68" i="15"/>
  <c r="E68" i="15"/>
  <c r="Q63" i="15"/>
  <c r="P63" i="15"/>
  <c r="N63" i="15"/>
  <c r="M63" i="15"/>
  <c r="L63" i="15"/>
  <c r="K63" i="15"/>
  <c r="J63" i="15"/>
  <c r="I63" i="15"/>
  <c r="H63" i="15"/>
  <c r="G63" i="15"/>
  <c r="F63" i="15"/>
  <c r="E63" i="15"/>
  <c r="D63" i="15"/>
  <c r="Q62" i="15"/>
  <c r="P62" i="15"/>
  <c r="N62" i="15"/>
  <c r="M62" i="15"/>
  <c r="L62" i="15"/>
  <c r="K62" i="15"/>
  <c r="J62" i="15"/>
  <c r="I62" i="15"/>
  <c r="H62" i="15"/>
  <c r="G62" i="15"/>
  <c r="F62" i="15"/>
  <c r="E62" i="15"/>
  <c r="D62" i="15"/>
  <c r="N61" i="15"/>
  <c r="M61" i="15"/>
  <c r="L61" i="15"/>
  <c r="K61" i="15"/>
  <c r="J61" i="15"/>
  <c r="I61" i="15"/>
  <c r="H61" i="15"/>
  <c r="G61" i="15"/>
  <c r="F61" i="15"/>
  <c r="E61" i="15"/>
  <c r="D61" i="15"/>
  <c r="Q56" i="15"/>
  <c r="P56" i="15"/>
  <c r="N56" i="15"/>
  <c r="M56" i="15"/>
  <c r="L56" i="15"/>
  <c r="K56" i="15"/>
  <c r="J56" i="15"/>
  <c r="I56" i="15"/>
  <c r="H56" i="15"/>
  <c r="G56" i="15"/>
  <c r="F56" i="15"/>
  <c r="E56" i="15"/>
  <c r="D56" i="15"/>
  <c r="Q55" i="15"/>
  <c r="P55" i="15"/>
  <c r="N55" i="15"/>
  <c r="M55" i="15"/>
  <c r="L55" i="15"/>
  <c r="K55" i="15"/>
  <c r="J55" i="15"/>
  <c r="I55" i="15"/>
  <c r="H55" i="15"/>
  <c r="G55" i="15"/>
  <c r="F55" i="15"/>
  <c r="E55" i="15"/>
  <c r="D55" i="15"/>
  <c r="Q54" i="15"/>
  <c r="N54" i="15"/>
  <c r="M54" i="15"/>
  <c r="L54" i="15"/>
  <c r="K54" i="15"/>
  <c r="J54" i="15"/>
  <c r="I54" i="15"/>
  <c r="H54" i="15"/>
  <c r="G54" i="15"/>
  <c r="F54" i="15"/>
  <c r="E54" i="15"/>
  <c r="D54" i="15"/>
  <c r="N49" i="15"/>
  <c r="M49" i="15"/>
  <c r="L49" i="15"/>
  <c r="K49" i="15"/>
  <c r="J49" i="15"/>
  <c r="I49" i="15"/>
  <c r="H49" i="15"/>
  <c r="G49" i="15"/>
  <c r="F49" i="15"/>
  <c r="E49" i="15"/>
  <c r="D49" i="15"/>
  <c r="P48" i="15"/>
  <c r="N48" i="15"/>
  <c r="M48" i="15"/>
  <c r="L48" i="15"/>
  <c r="K48" i="15"/>
  <c r="J48" i="15"/>
  <c r="I48" i="15"/>
  <c r="H48" i="15"/>
  <c r="G48" i="15"/>
  <c r="F48" i="15"/>
  <c r="E48" i="15"/>
  <c r="D48" i="15"/>
  <c r="Q47" i="15"/>
  <c r="P47" i="15"/>
  <c r="N47" i="15"/>
  <c r="M47" i="15"/>
  <c r="L47" i="15"/>
  <c r="K47" i="15"/>
  <c r="J47" i="15"/>
  <c r="I47" i="15"/>
  <c r="H47" i="15"/>
  <c r="G47" i="15"/>
  <c r="F47" i="15"/>
  <c r="E47" i="15"/>
  <c r="Q42" i="15"/>
  <c r="P42" i="15"/>
  <c r="O42" i="15"/>
  <c r="N42" i="15"/>
  <c r="M42" i="15"/>
  <c r="L42" i="15"/>
  <c r="K42" i="15"/>
  <c r="J42" i="15"/>
  <c r="I42" i="15"/>
  <c r="H42" i="15"/>
  <c r="G42" i="15"/>
  <c r="F42" i="15"/>
  <c r="E42" i="15"/>
  <c r="D42" i="15"/>
  <c r="Q41" i="15"/>
  <c r="P41" i="15"/>
  <c r="O41" i="15"/>
  <c r="N41" i="15"/>
  <c r="M41" i="15"/>
  <c r="L41" i="15"/>
  <c r="K41" i="15"/>
  <c r="J41" i="15"/>
  <c r="I41" i="15"/>
  <c r="H41" i="15"/>
  <c r="G41" i="15"/>
  <c r="F41" i="15"/>
  <c r="E41" i="15"/>
  <c r="D41" i="15"/>
  <c r="Q40" i="15"/>
  <c r="P40" i="15"/>
  <c r="O40" i="15"/>
  <c r="N40" i="15"/>
  <c r="M40" i="15"/>
  <c r="L40" i="15"/>
  <c r="K40" i="15"/>
  <c r="J40" i="15"/>
  <c r="I40" i="15"/>
  <c r="H40" i="15"/>
  <c r="G40" i="15"/>
  <c r="F40" i="15"/>
  <c r="E40" i="15"/>
  <c r="D40" i="15"/>
  <c r="Q35" i="15"/>
  <c r="P35" i="15"/>
  <c r="O35" i="15"/>
  <c r="N35" i="15"/>
  <c r="M35" i="15"/>
  <c r="L35" i="15"/>
  <c r="K35" i="15"/>
  <c r="J35" i="15"/>
  <c r="I35" i="15"/>
  <c r="H35" i="15"/>
  <c r="G35" i="15"/>
  <c r="F35" i="15"/>
  <c r="E35" i="15"/>
  <c r="D35" i="15"/>
  <c r="Q34" i="15"/>
  <c r="P34" i="15"/>
  <c r="O34" i="15"/>
  <c r="N34" i="15"/>
  <c r="M34" i="15"/>
  <c r="L34" i="15"/>
  <c r="K34" i="15"/>
  <c r="J34" i="15"/>
  <c r="I34" i="15"/>
  <c r="H34" i="15"/>
  <c r="G34" i="15"/>
  <c r="F34" i="15"/>
  <c r="E34" i="15"/>
  <c r="D34" i="15"/>
  <c r="Q33" i="15"/>
  <c r="P33" i="15"/>
  <c r="O33" i="15"/>
  <c r="N33" i="15"/>
  <c r="M33" i="15"/>
  <c r="L33" i="15"/>
  <c r="K33" i="15"/>
  <c r="J33" i="15"/>
  <c r="I33" i="15"/>
  <c r="H33" i="15"/>
  <c r="G33" i="15"/>
  <c r="F33" i="15"/>
  <c r="E33" i="15"/>
  <c r="D33" i="15"/>
  <c r="Q28" i="15"/>
  <c r="P28" i="15"/>
  <c r="O28" i="15"/>
  <c r="N28" i="15"/>
  <c r="M28" i="15"/>
  <c r="L28" i="15"/>
  <c r="K28" i="15"/>
  <c r="J28" i="15"/>
  <c r="I28" i="15"/>
  <c r="H28" i="15"/>
  <c r="G28" i="15"/>
  <c r="F28" i="15"/>
  <c r="E28" i="15"/>
  <c r="D28" i="15"/>
  <c r="Q27" i="15"/>
  <c r="P27" i="15"/>
  <c r="O27" i="15"/>
  <c r="N27" i="15"/>
  <c r="M27" i="15"/>
  <c r="L27" i="15"/>
  <c r="K27" i="15"/>
  <c r="J27" i="15"/>
  <c r="I27" i="15"/>
  <c r="H27" i="15"/>
  <c r="G27" i="15"/>
  <c r="F27" i="15"/>
  <c r="E27" i="15"/>
  <c r="D27" i="15"/>
  <c r="Q26" i="15"/>
  <c r="P26" i="15"/>
  <c r="O26" i="15"/>
  <c r="N26" i="15"/>
  <c r="M26" i="15"/>
  <c r="L26" i="15"/>
  <c r="K26" i="15"/>
  <c r="J26" i="15"/>
  <c r="I26" i="15"/>
  <c r="H26" i="15"/>
  <c r="G26" i="15"/>
  <c r="F26" i="15"/>
  <c r="E26" i="15"/>
  <c r="D26" i="15"/>
  <c r="Q21" i="15"/>
  <c r="P21" i="15"/>
  <c r="O21" i="15"/>
  <c r="N21" i="15"/>
  <c r="M21" i="15"/>
  <c r="L21" i="15"/>
  <c r="K21" i="15"/>
  <c r="J21" i="15"/>
  <c r="I21" i="15"/>
  <c r="H21" i="15"/>
  <c r="G21" i="15"/>
  <c r="F21" i="15"/>
  <c r="E21" i="15"/>
  <c r="D21" i="15"/>
  <c r="P20" i="15"/>
  <c r="O20" i="15"/>
  <c r="N20" i="15"/>
  <c r="M20" i="15"/>
  <c r="L20" i="15"/>
  <c r="K20" i="15"/>
  <c r="J20" i="15"/>
  <c r="I20" i="15"/>
  <c r="H20" i="15"/>
  <c r="G20" i="15"/>
  <c r="F20" i="15"/>
  <c r="E20" i="15"/>
  <c r="D20" i="15"/>
  <c r="P19" i="15"/>
  <c r="O19" i="15"/>
  <c r="N19" i="15"/>
  <c r="M19" i="15"/>
  <c r="L19" i="15"/>
  <c r="K19" i="15"/>
  <c r="J19" i="15"/>
  <c r="I19" i="15"/>
  <c r="H19" i="15"/>
  <c r="G19" i="15"/>
  <c r="F19" i="15"/>
  <c r="E19" i="15"/>
  <c r="D19" i="15"/>
  <c r="Q19" i="15"/>
  <c r="Q16" i="15"/>
  <c r="E13" i="19"/>
  <c r="S62" i="13" l="1"/>
  <c r="S58" i="13"/>
  <c r="S56" i="13"/>
  <c r="S53" i="13"/>
  <c r="S51" i="13"/>
  <c r="S49" i="13"/>
  <c r="S47" i="13"/>
  <c r="S44" i="13"/>
  <c r="S41" i="13"/>
  <c r="S39" i="13"/>
  <c r="S37" i="13"/>
  <c r="S34" i="13"/>
  <c r="S32" i="13"/>
  <c r="S30" i="13"/>
  <c r="S28" i="13"/>
  <c r="S26" i="13"/>
  <c r="S24" i="13"/>
  <c r="S22" i="13"/>
  <c r="S20" i="13"/>
  <c r="S18" i="13"/>
  <c r="S16" i="13"/>
  <c r="P43" i="13"/>
  <c r="P40" i="13"/>
  <c r="P38" i="13"/>
  <c r="P36" i="13"/>
  <c r="P44" i="13"/>
  <c r="R44" i="13" s="1"/>
  <c r="P41" i="13"/>
  <c r="R41" i="13" s="1"/>
  <c r="P39" i="13"/>
  <c r="R39" i="13" s="1"/>
  <c r="P37" i="13"/>
  <c r="Q37" i="13" s="1"/>
  <c r="Q44" i="13" l="1"/>
  <c r="Q41" i="13"/>
  <c r="Q39" i="13"/>
  <c r="R37" i="13"/>
  <c r="Q66" i="15"/>
  <c r="Q52" i="15"/>
  <c r="Q38" i="15"/>
  <c r="L59" i="20"/>
  <c r="N58" i="20"/>
  <c r="N59" i="20" s="1"/>
  <c r="M58" i="20"/>
  <c r="M59" i="20" s="1"/>
  <c r="K58" i="20"/>
  <c r="K59" i="20" s="1"/>
  <c r="I58" i="20"/>
  <c r="O58" i="20" s="1"/>
  <c r="O59" i="20" s="1"/>
  <c r="H58" i="20"/>
  <c r="H59" i="20" s="1"/>
  <c r="G58" i="20"/>
  <c r="G59" i="20" s="1"/>
  <c r="F58" i="20"/>
  <c r="F59" i="20" s="1"/>
  <c r="O57" i="20"/>
  <c r="E57" i="20"/>
  <c r="E58" i="20" s="1"/>
  <c r="D57" i="20"/>
  <c r="C57" i="20"/>
  <c r="B57" i="20"/>
  <c r="O56" i="20"/>
  <c r="D56" i="20"/>
  <c r="C56" i="20"/>
  <c r="B56" i="20"/>
  <c r="O55" i="20"/>
  <c r="D55" i="20"/>
  <c r="C55" i="20"/>
  <c r="B55" i="20"/>
  <c r="O54" i="20"/>
  <c r="D54" i="20"/>
  <c r="D58" i="20" s="1"/>
  <c r="C54" i="20"/>
  <c r="B54" i="20"/>
  <c r="O52" i="20"/>
  <c r="E52" i="20"/>
  <c r="D52" i="20"/>
  <c r="C52" i="20"/>
  <c r="B52" i="20"/>
  <c r="P14" i="20"/>
  <c r="Q14" i="20" s="1"/>
  <c r="O14" i="20"/>
  <c r="N14" i="20"/>
  <c r="M14" i="20"/>
  <c r="K14" i="20"/>
  <c r="J14" i="20"/>
  <c r="I14" i="20"/>
  <c r="H14" i="20"/>
  <c r="G14" i="20"/>
  <c r="F14" i="20"/>
  <c r="E14" i="20"/>
  <c r="D14" i="20"/>
  <c r="C14" i="20"/>
  <c r="B14" i="20"/>
  <c r="Q12" i="20"/>
  <c r="Q11" i="20"/>
  <c r="E30" i="19"/>
  <c r="E29" i="19"/>
  <c r="E28" i="19"/>
  <c r="E27" i="19"/>
  <c r="E12" i="19"/>
  <c r="E11" i="19"/>
  <c r="E10" i="19"/>
  <c r="E51" i="18"/>
  <c r="E50" i="18"/>
  <c r="E49" i="18"/>
  <c r="E48" i="18"/>
  <c r="E33" i="18"/>
  <c r="E32" i="18"/>
  <c r="E31" i="18"/>
  <c r="E30" i="18"/>
  <c r="E15" i="18"/>
  <c r="E14" i="18"/>
  <c r="E13" i="18"/>
  <c r="E12" i="18"/>
  <c r="B58" i="20" l="1"/>
  <c r="C58" i="20"/>
  <c r="C59" i="20" s="1"/>
  <c r="D59" i="20"/>
  <c r="E59" i="20"/>
  <c r="B59" i="20"/>
  <c r="I59" i="20"/>
  <c r="Q94" i="14"/>
  <c r="Q80" i="14"/>
  <c r="Q79" i="14"/>
  <c r="Q74" i="14"/>
  <c r="Q66" i="14"/>
  <c r="Q59" i="14"/>
  <c r="Q58" i="14"/>
  <c r="Q52" i="14"/>
  <c r="Q38" i="14"/>
  <c r="Q37" i="14"/>
  <c r="Q17" i="15"/>
  <c r="Q17" i="14" s="1"/>
  <c r="Q18" i="14"/>
  <c r="Q16" i="14"/>
  <c r="Q15" i="14"/>
  <c r="Q95" i="15"/>
  <c r="Q95" i="14" s="1"/>
  <c r="Q94" i="15"/>
  <c r="Q93" i="15"/>
  <c r="Q93" i="14" s="1"/>
  <c r="Q92" i="15"/>
  <c r="Q88" i="15"/>
  <c r="Q88" i="14" s="1"/>
  <c r="Q87" i="15"/>
  <c r="Q87" i="14" s="1"/>
  <c r="Q86" i="15"/>
  <c r="Q86" i="14" s="1"/>
  <c r="Q85" i="15"/>
  <c r="Q85" i="14" s="1"/>
  <c r="Q81" i="15"/>
  <c r="Q80" i="15"/>
  <c r="Q79" i="15"/>
  <c r="Q78" i="15"/>
  <c r="Q74" i="15"/>
  <c r="Q77" i="15" s="1"/>
  <c r="Q73" i="15"/>
  <c r="Q72" i="15"/>
  <c r="Q72" i="14" s="1"/>
  <c r="Q71" i="15"/>
  <c r="Q71" i="14" s="1"/>
  <c r="Q60" i="15"/>
  <c r="Q60" i="14" s="1"/>
  <c r="Q59" i="15"/>
  <c r="Q58" i="15"/>
  <c r="Q57" i="15"/>
  <c r="Q57" i="14" s="1"/>
  <c r="Q46" i="15"/>
  <c r="Q45" i="15"/>
  <c r="Q44" i="15"/>
  <c r="Q44" i="14" s="1"/>
  <c r="Q43" i="15"/>
  <c r="Q32" i="15"/>
  <c r="Q32" i="14" s="1"/>
  <c r="Q31" i="15"/>
  <c r="Q31" i="14" s="1"/>
  <c r="Q25" i="15"/>
  <c r="Q25" i="14" s="1"/>
  <c r="Q24" i="15"/>
  <c r="Q24" i="14" s="1"/>
  <c r="Q23" i="15"/>
  <c r="Q23" i="14" s="1"/>
  <c r="Q22" i="15"/>
  <c r="Q67" i="15"/>
  <c r="Q67" i="14" s="1"/>
  <c r="Q65" i="15"/>
  <c r="Q65" i="14" s="1"/>
  <c r="Q64" i="15"/>
  <c r="Q53" i="15"/>
  <c r="Q53" i="14" s="1"/>
  <c r="Q51" i="15"/>
  <c r="Q51" i="14" s="1"/>
  <c r="Q50" i="15"/>
  <c r="Q39" i="15"/>
  <c r="Q39" i="14" s="1"/>
  <c r="Q37" i="15"/>
  <c r="Q36" i="15"/>
  <c r="Q30" i="15"/>
  <c r="Q30" i="14" s="1"/>
  <c r="Q29" i="15"/>
  <c r="Q18" i="15"/>
  <c r="Q15" i="15"/>
  <c r="Q46" i="14" l="1"/>
  <c r="Q49" i="15"/>
  <c r="Q45" i="14"/>
  <c r="Q48" i="15"/>
  <c r="Q73" i="14"/>
  <c r="Q76" i="15"/>
  <c r="Q78" i="14"/>
  <c r="Q82" i="14" s="1"/>
  <c r="Q84" i="15"/>
  <c r="Q82" i="15"/>
  <c r="Q83" i="15"/>
  <c r="Q19" i="14"/>
  <c r="Q81" i="14"/>
  <c r="Q77" i="14"/>
  <c r="Q75" i="14"/>
  <c r="Q63" i="14"/>
  <c r="Q91" i="14"/>
  <c r="Q21" i="14"/>
  <c r="Q20" i="15"/>
  <c r="Q20" i="14"/>
  <c r="Q22" i="14"/>
  <c r="Q28" i="14" s="1"/>
  <c r="Q29" i="14"/>
  <c r="Q35" i="14" s="1"/>
  <c r="Q36" i="14"/>
  <c r="Q42" i="14" s="1"/>
  <c r="Q43" i="14"/>
  <c r="Q48" i="14" s="1"/>
  <c r="Q50" i="14"/>
  <c r="Q54" i="14" s="1"/>
  <c r="Q64" i="14"/>
  <c r="Q70" i="14" s="1"/>
  <c r="Q92" i="14"/>
  <c r="Q98" i="14" s="1"/>
  <c r="Q89" i="14"/>
  <c r="Q90" i="14"/>
  <c r="Q76" i="14"/>
  <c r="Q62" i="14"/>
  <c r="Q40" i="14"/>
  <c r="D35" i="13"/>
  <c r="D42" i="13"/>
  <c r="Q83" i="14" l="1"/>
  <c r="Q84" i="14"/>
  <c r="Q97" i="14"/>
  <c r="Q96" i="14"/>
  <c r="Q47" i="14"/>
  <c r="Q49" i="14"/>
  <c r="Q34" i="14"/>
  <c r="Q41" i="14"/>
  <c r="D45" i="13"/>
  <c r="Q33" i="14"/>
  <c r="Q56" i="14"/>
  <c r="Q55" i="14"/>
  <c r="Q27" i="14"/>
  <c r="Q26" i="14"/>
  <c r="Q69" i="14"/>
  <c r="C35" i="13"/>
  <c r="R43" i="13" l="1"/>
  <c r="R40" i="13"/>
  <c r="R38" i="13"/>
  <c r="R36" i="13"/>
  <c r="X59" i="13" l="1"/>
  <c r="X54" i="13"/>
  <c r="X42" i="13"/>
  <c r="Y35" i="13"/>
  <c r="X35" i="13"/>
  <c r="W35" i="13"/>
  <c r="V35" i="13"/>
  <c r="U35" i="13"/>
  <c r="O35" i="13"/>
  <c r="N35" i="13"/>
  <c r="M35" i="13"/>
  <c r="L35" i="13"/>
  <c r="K35" i="13"/>
  <c r="J35" i="13"/>
  <c r="I35" i="13"/>
  <c r="H35" i="13"/>
  <c r="G35" i="13"/>
  <c r="F35" i="13"/>
  <c r="X45" i="13" l="1"/>
  <c r="X60" i="13"/>
  <c r="P61" i="13"/>
  <c r="P62" i="13" s="1"/>
  <c r="Y59" i="13"/>
  <c r="W59" i="13"/>
  <c r="V59" i="13"/>
  <c r="U59" i="13"/>
  <c r="U60" i="13" s="1"/>
  <c r="O59" i="13"/>
  <c r="N59" i="13"/>
  <c r="M59" i="13"/>
  <c r="L59" i="13"/>
  <c r="K59" i="13"/>
  <c r="J59" i="13"/>
  <c r="I59" i="13"/>
  <c r="H59" i="13"/>
  <c r="G59" i="13"/>
  <c r="F59" i="13"/>
  <c r="E59" i="13"/>
  <c r="D59" i="13"/>
  <c r="C59" i="13"/>
  <c r="P57" i="13"/>
  <c r="P58" i="13" s="1"/>
  <c r="P55" i="13"/>
  <c r="P56" i="13" s="1"/>
  <c r="Y54" i="13"/>
  <c r="W54" i="13"/>
  <c r="V54" i="13"/>
  <c r="U54" i="13"/>
  <c r="O54" i="13"/>
  <c r="N54" i="13"/>
  <c r="M54" i="13"/>
  <c r="L54" i="13"/>
  <c r="K54" i="13"/>
  <c r="J54" i="13"/>
  <c r="I54" i="13"/>
  <c r="H54" i="13"/>
  <c r="G54" i="13"/>
  <c r="F54" i="13"/>
  <c r="E54" i="13"/>
  <c r="D54" i="13"/>
  <c r="C54" i="13"/>
  <c r="P52" i="13"/>
  <c r="P53" i="13" s="1"/>
  <c r="P50" i="13"/>
  <c r="P51" i="13" s="1"/>
  <c r="P48" i="13"/>
  <c r="P49" i="13" s="1"/>
  <c r="P46" i="13"/>
  <c r="P47" i="13" s="1"/>
  <c r="S43" i="13"/>
  <c r="Q43" i="13"/>
  <c r="Y42" i="13"/>
  <c r="W42" i="13"/>
  <c r="V42" i="13"/>
  <c r="V60" i="13" s="1"/>
  <c r="U42" i="13"/>
  <c r="U45" i="13" s="1"/>
  <c r="O42" i="13"/>
  <c r="N42" i="13"/>
  <c r="M42" i="13"/>
  <c r="L42" i="13"/>
  <c r="K42" i="13"/>
  <c r="J42" i="13"/>
  <c r="I42" i="13"/>
  <c r="H42" i="13"/>
  <c r="G42" i="13"/>
  <c r="F42" i="13"/>
  <c r="E42" i="13"/>
  <c r="C42" i="13"/>
  <c r="S40" i="13"/>
  <c r="Q40" i="13"/>
  <c r="S38" i="13"/>
  <c r="Q38" i="13"/>
  <c r="S36" i="13"/>
  <c r="Q36" i="13"/>
  <c r="L45" i="13"/>
  <c r="E35" i="13"/>
  <c r="P33" i="13"/>
  <c r="P34" i="13" s="1"/>
  <c r="P31" i="13"/>
  <c r="P29" i="13"/>
  <c r="P30" i="13" s="1"/>
  <c r="P27" i="13"/>
  <c r="P28" i="13" s="1"/>
  <c r="P25" i="13"/>
  <c r="P26" i="13" s="1"/>
  <c r="P23" i="13"/>
  <c r="P21" i="13"/>
  <c r="P22" i="13" s="1"/>
  <c r="P19" i="13"/>
  <c r="P17" i="13"/>
  <c r="P15" i="13"/>
  <c r="P42" i="13" l="1"/>
  <c r="R17" i="13"/>
  <c r="P18" i="13"/>
  <c r="R26" i="13"/>
  <c r="Q26" i="13"/>
  <c r="R34" i="13"/>
  <c r="Q34" i="13"/>
  <c r="R51" i="13"/>
  <c r="Q51" i="13"/>
  <c r="R58" i="13"/>
  <c r="Q58" i="13"/>
  <c r="S19" i="13"/>
  <c r="Q19" i="13"/>
  <c r="R19" i="13"/>
  <c r="P20" i="13"/>
  <c r="R28" i="13"/>
  <c r="Q28" i="13"/>
  <c r="W60" i="13"/>
  <c r="W45" i="13"/>
  <c r="R53" i="13"/>
  <c r="Q53" i="13"/>
  <c r="R22" i="13"/>
  <c r="Q22" i="13"/>
  <c r="R30" i="13"/>
  <c r="Q30" i="13"/>
  <c r="Y60" i="13"/>
  <c r="Q47" i="13"/>
  <c r="R47" i="13"/>
  <c r="R62" i="13"/>
  <c r="Q62" i="13"/>
  <c r="R15" i="13"/>
  <c r="P16" i="13"/>
  <c r="Q23" i="13"/>
  <c r="P24" i="13"/>
  <c r="R31" i="13"/>
  <c r="P32" i="13"/>
  <c r="R49" i="13"/>
  <c r="Q49" i="13"/>
  <c r="Q56" i="13"/>
  <c r="R56" i="13"/>
  <c r="S15" i="13"/>
  <c r="S29" i="13"/>
  <c r="R29" i="13"/>
  <c r="S55" i="13"/>
  <c r="R55" i="13"/>
  <c r="S57" i="13"/>
  <c r="R57" i="13"/>
  <c r="Q31" i="13"/>
  <c r="S46" i="13"/>
  <c r="R46" i="13"/>
  <c r="Q21" i="13"/>
  <c r="R21" i="13"/>
  <c r="S31" i="13"/>
  <c r="S48" i="13"/>
  <c r="R48" i="13"/>
  <c r="S61" i="13"/>
  <c r="R61" i="13"/>
  <c r="S52" i="13"/>
  <c r="R52" i="13"/>
  <c r="Q15" i="13"/>
  <c r="Q27" i="13"/>
  <c r="R27" i="13"/>
  <c r="S23" i="13"/>
  <c r="R23" i="13"/>
  <c r="S25" i="13"/>
  <c r="R25" i="13"/>
  <c r="S50" i="13"/>
  <c r="R50" i="13"/>
  <c r="Q33" i="13"/>
  <c r="R33" i="13"/>
  <c r="P35" i="13"/>
  <c r="R35" i="13" s="1"/>
  <c r="P59" i="13"/>
  <c r="Q55" i="13"/>
  <c r="Q50" i="13"/>
  <c r="P54" i="13"/>
  <c r="R54" i="13" s="1"/>
  <c r="E45" i="13"/>
  <c r="E60" i="13" s="1"/>
  <c r="M45" i="13"/>
  <c r="M60" i="13" s="1"/>
  <c r="C45" i="13"/>
  <c r="C60" i="13" s="1"/>
  <c r="K45" i="13"/>
  <c r="K60" i="13" s="1"/>
  <c r="G45" i="13"/>
  <c r="G60" i="13" s="1"/>
  <c r="H45" i="13"/>
  <c r="H60" i="13" s="1"/>
  <c r="I45" i="13"/>
  <c r="I60" i="13" s="1"/>
  <c r="N45" i="13"/>
  <c r="N60" i="13" s="1"/>
  <c r="O45" i="13"/>
  <c r="O60" i="13" s="1"/>
  <c r="J45" i="13"/>
  <c r="J60" i="13" s="1"/>
  <c r="S54" i="13"/>
  <c r="Q54" i="13"/>
  <c r="D60" i="13"/>
  <c r="L60" i="13"/>
  <c r="Q29" i="13"/>
  <c r="F45" i="13"/>
  <c r="F60" i="13" s="1"/>
  <c r="Y45" i="13"/>
  <c r="Q48" i="13"/>
  <c r="S21" i="13"/>
  <c r="Q46" i="13"/>
  <c r="S27" i="13"/>
  <c r="Q25" i="13"/>
  <c r="Q52" i="13"/>
  <c r="Q57" i="13"/>
  <c r="S17" i="13"/>
  <c r="S33" i="13"/>
  <c r="Q61" i="13"/>
  <c r="V45" i="13"/>
  <c r="Q32" i="13" l="1"/>
  <c r="R32" i="13"/>
  <c r="R16" i="13"/>
  <c r="Q16" i="13"/>
  <c r="R20" i="13"/>
  <c r="Q20" i="13"/>
  <c r="R18" i="13"/>
  <c r="Q18" i="13"/>
  <c r="Q24" i="13"/>
  <c r="R24" i="13"/>
  <c r="S42" i="13"/>
  <c r="R42" i="13"/>
  <c r="S59" i="13"/>
  <c r="R59" i="13"/>
  <c r="S35" i="13"/>
  <c r="Q59" i="13"/>
  <c r="Q42" i="13"/>
  <c r="Q35" i="13"/>
  <c r="P60" i="13"/>
  <c r="R60" i="13" s="1"/>
  <c r="P45" i="13"/>
  <c r="R45" i="13" s="1"/>
  <c r="Q60" i="13" l="1"/>
  <c r="S60" i="13"/>
  <c r="S45" i="13"/>
  <c r="Q45" i="13"/>
</calcChain>
</file>

<file path=xl/sharedStrings.xml><?xml version="1.0" encoding="utf-8"?>
<sst xmlns="http://schemas.openxmlformats.org/spreadsheetml/2006/main" count="527" uniqueCount="186">
  <si>
    <t>Evolution de la sole régionale des blés</t>
  </si>
  <si>
    <t>Calendrier de parution des informations Grandes cultures</t>
  </si>
  <si>
    <t>Surface</t>
  </si>
  <si>
    <t>Surface et production</t>
  </si>
  <si>
    <t>Déc</t>
  </si>
  <si>
    <t>Janv</t>
  </si>
  <si>
    <t>Fév</t>
  </si>
  <si>
    <t>Mars</t>
  </si>
  <si>
    <t>Avril</t>
  </si>
  <si>
    <t>Mai</t>
  </si>
  <si>
    <t>Juin</t>
  </si>
  <si>
    <t>Juillet</t>
  </si>
  <si>
    <t>Août</t>
  </si>
  <si>
    <t>Sept</t>
  </si>
  <si>
    <t>Oct</t>
  </si>
  <si>
    <t>Nov</t>
  </si>
  <si>
    <t>Blé tendre d'hiver</t>
  </si>
  <si>
    <t>Blé tendre de printemps</t>
  </si>
  <si>
    <t>Blé dur d'hiver</t>
  </si>
  <si>
    <t>Blé dur de printemps</t>
  </si>
  <si>
    <t>Orge, escourgeon d'hiver</t>
  </si>
  <si>
    <t>Orge, esc.de printemps</t>
  </si>
  <si>
    <t>Avoine d'hiver</t>
  </si>
  <si>
    <t>Avoine de printemps</t>
  </si>
  <si>
    <t>Seigle</t>
  </si>
  <si>
    <t>Triticale</t>
  </si>
  <si>
    <t>Maïs</t>
  </si>
  <si>
    <t>Sorgho</t>
  </si>
  <si>
    <t>Colza d'hiver</t>
  </si>
  <si>
    <t>Colza de printemps</t>
  </si>
  <si>
    <t>Tournesol</t>
  </si>
  <si>
    <t>Soja</t>
  </si>
  <si>
    <t>Féveroles</t>
  </si>
  <si>
    <t>Pois secs</t>
  </si>
  <si>
    <t>Lupin doux</t>
  </si>
  <si>
    <t>Betteraves</t>
  </si>
  <si>
    <t>Pommes de terre</t>
  </si>
  <si>
    <t>Jachère agronomique</t>
  </si>
  <si>
    <t>Source : Agreste - situation mensuelle grandes cultures</t>
  </si>
  <si>
    <t>Ariège</t>
  </si>
  <si>
    <t>Aveyron</t>
  </si>
  <si>
    <t>Haute-Garonne</t>
  </si>
  <si>
    <t>Gers</t>
  </si>
  <si>
    <t>Lot</t>
  </si>
  <si>
    <t>Hautes-Pyrénées</t>
  </si>
  <si>
    <t>Tarn</t>
  </si>
  <si>
    <t>Tarn-et-Garonne</t>
  </si>
  <si>
    <t>Aude</t>
  </si>
  <si>
    <t>Gard</t>
  </si>
  <si>
    <t>Hérault</t>
  </si>
  <si>
    <t>Total Occitanie</t>
  </si>
  <si>
    <t>Bassin Midi-pyrénées</t>
  </si>
  <si>
    <t>(1) : Surfaces issues des estimations précoces de production</t>
  </si>
  <si>
    <t>Unités : ha, qx/ha, %</t>
  </si>
  <si>
    <t>OCCITANIE</t>
  </si>
  <si>
    <t>Unités : ha, Qx/ha</t>
  </si>
  <si>
    <r>
      <rPr>
        <b/>
        <sz val="9"/>
        <rFont val="Marianne"/>
        <family val="3"/>
      </rPr>
      <t xml:space="preserve">Cultures </t>
    </r>
    <r>
      <rPr>
        <sz val="9"/>
        <rFont val="Marianne"/>
        <family val="3"/>
      </rPr>
      <t>(1)</t>
    </r>
  </si>
  <si>
    <r>
      <rPr>
        <b/>
        <sz val="9"/>
        <rFont val="Marianne"/>
        <family val="3"/>
      </rPr>
      <t xml:space="preserve"> S</t>
    </r>
    <r>
      <rPr>
        <sz val="9"/>
        <rFont val="Marianne"/>
        <family val="3"/>
      </rPr>
      <t>eigle</t>
    </r>
  </si>
  <si>
    <r>
      <rPr>
        <sz val="9"/>
        <rFont val="Marianne"/>
        <family val="3"/>
      </rPr>
      <t xml:space="preserve"> </t>
    </r>
    <r>
      <rPr>
        <b/>
        <sz val="9"/>
        <rFont val="Marianne"/>
        <family val="3"/>
      </rPr>
      <t>O</t>
    </r>
    <r>
      <rPr>
        <sz val="9"/>
        <rFont val="Marianne"/>
        <family val="3"/>
      </rPr>
      <t>rge et 
escourgeon d'hiver</t>
    </r>
  </si>
  <si>
    <r>
      <rPr>
        <sz val="9"/>
        <rFont val="Marianne"/>
        <family val="3"/>
      </rPr>
      <t xml:space="preserve"> </t>
    </r>
    <r>
      <rPr>
        <b/>
        <sz val="9"/>
        <rFont val="Marianne"/>
        <family val="3"/>
      </rPr>
      <t>O</t>
    </r>
    <r>
      <rPr>
        <sz val="9"/>
        <rFont val="Marianne"/>
        <family val="3"/>
      </rPr>
      <t>rge et 
escourgeon de printemps</t>
    </r>
  </si>
  <si>
    <r>
      <rPr>
        <b/>
        <sz val="9"/>
        <rFont val="Marianne"/>
        <family val="3"/>
      </rPr>
      <t xml:space="preserve"> T</t>
    </r>
    <r>
      <rPr>
        <sz val="9"/>
        <rFont val="Marianne"/>
        <family val="3"/>
      </rPr>
      <t>riticale</t>
    </r>
  </si>
  <si>
    <r>
      <rPr>
        <sz val="9"/>
        <rFont val="Marianne"/>
        <family val="3"/>
      </rPr>
      <t xml:space="preserve"> </t>
    </r>
    <r>
      <rPr>
        <b/>
        <sz val="9"/>
        <rFont val="Marianne"/>
        <family val="3"/>
      </rPr>
      <t>M</t>
    </r>
    <r>
      <rPr>
        <sz val="9"/>
        <rFont val="Marianne"/>
        <family val="3"/>
      </rPr>
      <t>aïs grain irrigué</t>
    </r>
  </si>
  <si>
    <r>
      <rPr>
        <sz val="9"/>
        <rFont val="Marianne"/>
        <family val="3"/>
      </rPr>
      <t xml:space="preserve"> </t>
    </r>
    <r>
      <rPr>
        <b/>
        <sz val="9"/>
        <rFont val="Marianne"/>
        <family val="3"/>
      </rPr>
      <t>M</t>
    </r>
    <r>
      <rPr>
        <sz val="9"/>
        <rFont val="Marianne"/>
        <family val="3"/>
      </rPr>
      <t>aïs grain en sec</t>
    </r>
  </si>
  <si>
    <r>
      <rPr>
        <sz val="9"/>
        <rFont val="Marianne"/>
        <family val="3"/>
      </rPr>
      <t xml:space="preserve"> </t>
    </r>
    <r>
      <rPr>
        <b/>
        <sz val="9"/>
        <rFont val="Marianne"/>
        <family val="3"/>
      </rPr>
      <t>M</t>
    </r>
    <r>
      <rPr>
        <sz val="9"/>
        <rFont val="Marianne"/>
        <family val="3"/>
      </rPr>
      <t>aïs semence</t>
    </r>
  </si>
  <si>
    <r>
      <rPr>
        <sz val="9"/>
        <rFont val="Marianne"/>
        <family val="3"/>
      </rPr>
      <t xml:space="preserve"> </t>
    </r>
    <r>
      <rPr>
        <b/>
        <sz val="9"/>
        <rFont val="Marianne"/>
        <family val="3"/>
      </rPr>
      <t>S</t>
    </r>
    <r>
      <rPr>
        <sz val="9"/>
        <rFont val="Marianne"/>
        <family val="3"/>
      </rPr>
      <t>orgho grain</t>
    </r>
  </si>
  <si>
    <r>
      <rPr>
        <b/>
        <sz val="9"/>
        <rFont val="Marianne"/>
        <family val="3"/>
      </rPr>
      <t xml:space="preserve"> T</t>
    </r>
    <r>
      <rPr>
        <sz val="9"/>
        <rFont val="Marianne"/>
        <family val="3"/>
      </rPr>
      <t>ournesol</t>
    </r>
  </si>
  <si>
    <r>
      <rPr>
        <b/>
        <sz val="9"/>
        <rFont val="Marianne"/>
        <family val="3"/>
      </rPr>
      <t xml:space="preserve"> S</t>
    </r>
    <r>
      <rPr>
        <sz val="9"/>
        <rFont val="Marianne"/>
        <family val="3"/>
      </rPr>
      <t>oja</t>
    </r>
  </si>
  <si>
    <r>
      <rPr>
        <sz val="9"/>
        <rFont val="Marianne"/>
        <family val="3"/>
      </rPr>
      <t xml:space="preserve"> </t>
    </r>
    <r>
      <rPr>
        <b/>
        <sz val="9"/>
        <rFont val="Marianne"/>
        <family val="3"/>
      </rPr>
      <t>F</t>
    </r>
    <r>
      <rPr>
        <sz val="9"/>
        <rFont val="Marianne"/>
        <family val="3"/>
      </rPr>
      <t>éveroles</t>
    </r>
  </si>
  <si>
    <r>
      <rPr>
        <sz val="9"/>
        <rFont val="Marianne"/>
        <family val="3"/>
      </rPr>
      <t xml:space="preserve"> </t>
    </r>
    <r>
      <rPr>
        <b/>
        <sz val="9"/>
        <rFont val="Marianne"/>
        <family val="3"/>
      </rPr>
      <t>P</t>
    </r>
    <r>
      <rPr>
        <sz val="9"/>
        <rFont val="Marianne"/>
        <family val="3"/>
      </rPr>
      <t>ois  protéagineux</t>
    </r>
  </si>
  <si>
    <r>
      <rPr>
        <sz val="9"/>
        <rFont val="Marianne"/>
        <family val="3"/>
      </rPr>
      <t xml:space="preserve"> </t>
    </r>
    <r>
      <rPr>
        <b/>
        <sz val="9"/>
        <rFont val="Marianne"/>
        <family val="3"/>
      </rPr>
      <t>M</t>
    </r>
    <r>
      <rPr>
        <sz val="9"/>
        <rFont val="Marianne"/>
        <family val="3"/>
      </rPr>
      <t>aïs fourrage et ensilage</t>
    </r>
  </si>
  <si>
    <t xml:space="preserve">Rendement </t>
  </si>
  <si>
    <t>Total céréales à paille</t>
  </si>
  <si>
    <t>Total Maïs (hors fourrage)</t>
  </si>
  <si>
    <t>Total Protéagineux</t>
  </si>
  <si>
    <t>Evol/2024</t>
  </si>
  <si>
    <r>
      <t xml:space="preserve"> C</t>
    </r>
    <r>
      <rPr>
        <sz val="9"/>
        <rFont val="Marianne"/>
        <family val="3"/>
      </rPr>
      <t>olza (et navette) d'hiver</t>
    </r>
  </si>
  <si>
    <t>Campagne de production 2025 (estimations précoces de production)</t>
  </si>
  <si>
    <t>Riz</t>
  </si>
  <si>
    <t xml:space="preserve">(2) : Évolutions des surfaces en % calculées par comparaison aux estimations Agreste de la campagne précédente - SAA </t>
  </si>
  <si>
    <t xml:space="preserve">(3) : Évolutions des surfaces et rendements (respectivement  en % et en Qx/ha) calculés par comparaison aux estimations moyennes des 5 dernières campagnes - Agreste  - SAA </t>
  </si>
  <si>
    <t xml:space="preserve">Unités : ha, qx/ha, % </t>
  </si>
  <si>
    <t>Lozère</t>
  </si>
  <si>
    <t>Pyrénées-Orientales</t>
  </si>
  <si>
    <t>Grandes cultures : SAA 2024</t>
  </si>
  <si>
    <r>
      <rPr>
        <sz val="9"/>
        <rFont val="Marianne"/>
        <family val="3"/>
      </rPr>
      <t xml:space="preserve"> </t>
    </r>
    <r>
      <rPr>
        <b/>
        <sz val="9"/>
        <rFont val="Marianne"/>
        <family val="3"/>
      </rPr>
      <t>B</t>
    </r>
    <r>
      <rPr>
        <sz val="9"/>
        <rFont val="Marianne"/>
        <family val="3"/>
      </rPr>
      <t>lé tendre  d'hiver</t>
    </r>
  </si>
  <si>
    <r>
      <rPr>
        <sz val="9"/>
        <rFont val="Marianne"/>
        <family val="3"/>
      </rPr>
      <t xml:space="preserve"> </t>
    </r>
    <r>
      <rPr>
        <b/>
        <sz val="9"/>
        <rFont val="Marianne"/>
        <family val="3"/>
      </rPr>
      <t>B</t>
    </r>
    <r>
      <rPr>
        <sz val="9"/>
        <rFont val="Marianne"/>
        <family val="3"/>
      </rPr>
      <t>lé tendre de printemps</t>
    </r>
  </si>
  <si>
    <r>
      <rPr>
        <b/>
        <sz val="9"/>
        <rFont val="Marianne"/>
        <family val="3"/>
      </rPr>
      <t xml:space="preserve"> B</t>
    </r>
    <r>
      <rPr>
        <sz val="9"/>
        <rFont val="Marianne"/>
        <family val="3"/>
      </rPr>
      <t>lé dur d'hiver</t>
    </r>
  </si>
  <si>
    <r>
      <rPr>
        <b/>
        <sz val="9"/>
        <rFont val="Marianne"/>
        <family val="3"/>
      </rPr>
      <t xml:space="preserve"> B</t>
    </r>
    <r>
      <rPr>
        <sz val="9"/>
        <rFont val="Marianne"/>
        <family val="3"/>
      </rPr>
      <t>lé dur de printemps</t>
    </r>
  </si>
  <si>
    <r>
      <rPr>
        <sz val="9"/>
        <rFont val="Marianne"/>
        <family val="3"/>
      </rPr>
      <t xml:space="preserve"> </t>
    </r>
    <r>
      <rPr>
        <b/>
        <sz val="9"/>
        <rFont val="Marianne"/>
        <family val="3"/>
      </rPr>
      <t>A</t>
    </r>
    <r>
      <rPr>
        <sz val="9"/>
        <rFont val="Marianne"/>
        <family val="3"/>
      </rPr>
      <t>voine d'hiver</t>
    </r>
  </si>
  <si>
    <r>
      <t>R</t>
    </r>
    <r>
      <rPr>
        <sz val="9"/>
        <color rgb="FF000000"/>
        <rFont val="Marianne"/>
        <family val="3"/>
      </rPr>
      <t>iz</t>
    </r>
  </si>
  <si>
    <t>Sommaire</t>
  </si>
  <si>
    <t>Retour Sommaire</t>
  </si>
  <si>
    <t>Evol/moyenne quinquennale</t>
  </si>
  <si>
    <t>Evol/moyenne décennale</t>
  </si>
  <si>
    <t>Moyen quinquennal</t>
  </si>
  <si>
    <t>Moyen décennal</t>
  </si>
  <si>
    <t>(1) : SAA 2024</t>
  </si>
  <si>
    <t>2024 (1)</t>
  </si>
  <si>
    <t>RENDEMENT</t>
  </si>
  <si>
    <t>Total Oléagineux</t>
  </si>
  <si>
    <t>Total Céréales (hors riz)</t>
  </si>
  <si>
    <t>rendement non disponible à ce stade</t>
  </si>
  <si>
    <t>rendement/surface non disponible à ce stade</t>
  </si>
  <si>
    <t>surface non disponible à ce stade</t>
  </si>
  <si>
    <t>SURFACE</t>
  </si>
  <si>
    <r>
      <rPr>
        <sz val="9"/>
        <rFont val="Marianne"/>
        <family val="3"/>
      </rPr>
      <t xml:space="preserve"> </t>
    </r>
    <r>
      <rPr>
        <b/>
        <sz val="9"/>
        <rFont val="Marianne"/>
        <family val="3"/>
      </rPr>
      <t>A</t>
    </r>
    <r>
      <rPr>
        <sz val="9"/>
        <rFont val="Marianne"/>
        <family val="3"/>
      </rPr>
      <t>voine de printemps</t>
    </r>
  </si>
  <si>
    <r>
      <t xml:space="preserve"> B</t>
    </r>
    <r>
      <rPr>
        <sz val="9"/>
        <rFont val="Marianne"/>
        <family val="3"/>
      </rPr>
      <t xml:space="preserve">lé dur </t>
    </r>
  </si>
  <si>
    <r>
      <rPr>
        <sz val="9"/>
        <rFont val="Marianne"/>
        <family val="3"/>
      </rPr>
      <t xml:space="preserve"> </t>
    </r>
    <r>
      <rPr>
        <b/>
        <sz val="9"/>
        <rFont val="Marianne"/>
        <family val="3"/>
      </rPr>
      <t>B</t>
    </r>
    <r>
      <rPr>
        <sz val="9"/>
        <rFont val="Marianne"/>
        <family val="3"/>
      </rPr>
      <t>lé tendre et épeautre</t>
    </r>
  </si>
  <si>
    <t>Estimation 2025</t>
  </si>
  <si>
    <t>rendement</t>
  </si>
  <si>
    <t xml:space="preserve">rendement </t>
  </si>
  <si>
    <t xml:space="preserve">surface </t>
  </si>
  <si>
    <t>surface</t>
  </si>
  <si>
    <t xml:space="preserve">(4) : Évolutions des surfaces et rendements (respectivement  en % et en Qx/ha) calculés par comparaison aux estimations moyennes des 10 dernières campagnes - Agreste  - SAA </t>
  </si>
  <si>
    <t>Total COP (hors maïs fourrage, autres céréales, mélanges et légumes secs)</t>
  </si>
  <si>
    <r>
      <t xml:space="preserve"> C</t>
    </r>
    <r>
      <rPr>
        <sz val="9"/>
        <rFont val="Marianne"/>
        <family val="3"/>
      </rPr>
      <t>olza (et navette) hiver</t>
    </r>
  </si>
  <si>
    <t xml:space="preserve">Pour plus de détail, consultez l'information rapide nationale de conjoncture sous agreste </t>
  </si>
  <si>
    <t>Moyenne 2020-2024 Occitanie quinquennale</t>
  </si>
  <si>
    <t>Moyenne 2015-2024 Occitanie décennale</t>
  </si>
  <si>
    <t>Ecart par rapport à la moyenne quinquennale (3)</t>
  </si>
  <si>
    <t>Ecart par rapport à la moyenne décennale (4)</t>
  </si>
  <si>
    <t>Ecart/moyenne quinquennale</t>
  </si>
  <si>
    <t>Ecart/moyenne décennale</t>
  </si>
  <si>
    <t>Calendrier des estimations précoces de production</t>
  </si>
  <si>
    <t>Estimations des surfaces et rendements campagne 2024/2025</t>
  </si>
  <si>
    <t>Estimations des surfaces campagne 2024/2025</t>
  </si>
  <si>
    <t>Estimations des rendements campagne 2024/2025</t>
  </si>
  <si>
    <t>Cotations des céréales</t>
  </si>
  <si>
    <t>Cotations  des oléoproteagineux</t>
  </si>
  <si>
    <r>
      <rPr>
        <sz val="9"/>
        <rFont val="Marianne"/>
        <family val="3"/>
      </rPr>
      <t xml:space="preserve"> </t>
    </r>
    <r>
      <rPr>
        <b/>
        <sz val="9"/>
        <rFont val="Marianne"/>
        <family val="3"/>
      </rPr>
      <t>M</t>
    </r>
    <r>
      <rPr>
        <sz val="9"/>
        <rFont val="Marianne"/>
        <family val="3"/>
      </rPr>
      <t xml:space="preserve">aïs grain </t>
    </r>
  </si>
  <si>
    <t>2024 (1 bis)</t>
  </si>
  <si>
    <r>
      <t xml:space="preserve">Grandes cultures : estimations des surfaces et rendements au </t>
    </r>
    <r>
      <rPr>
        <b/>
        <u/>
        <sz val="11"/>
        <color rgb="FF000000"/>
        <rFont val="Marianne"/>
        <family val="3"/>
      </rPr>
      <t>1er novembre 2025</t>
    </r>
  </si>
  <si>
    <t>(6) : Estimation SRISET 2024 pour l'Aude et le Gard</t>
  </si>
  <si>
    <t>Evolution par rapport à la campagne précédente (2)</t>
  </si>
  <si>
    <t>Bassin Languedoc-Roussillon (6)</t>
  </si>
  <si>
    <t>Evolution des cotations des céréales, marché France métropolitaine, base juillet</t>
  </si>
  <si>
    <t>Evolution des cotations de blé tendre, rendu Rouen (base juillet)</t>
  </si>
  <si>
    <t>Euro/
Tonne</t>
  </si>
  <si>
    <t>Moyenne 2020-2024</t>
  </si>
  <si>
    <t>2024-2025</t>
  </si>
  <si>
    <t>2025-2026</t>
  </si>
  <si>
    <t>Evol. 2024/2025</t>
  </si>
  <si>
    <t>juil</t>
  </si>
  <si>
    <t>aout</t>
  </si>
  <si>
    <t>sept</t>
  </si>
  <si>
    <t>oct</t>
  </si>
  <si>
    <t>nov</t>
  </si>
  <si>
    <t>déc</t>
  </si>
  <si>
    <t>janv</t>
  </si>
  <si>
    <t>fév</t>
  </si>
  <si>
    <t>mars</t>
  </si>
  <si>
    <t>avril</t>
  </si>
  <si>
    <t>mai</t>
  </si>
  <si>
    <t>juin</t>
  </si>
  <si>
    <t>source : FranceAgriMer</t>
  </si>
  <si>
    <t>Evolution des cotations de blé dur, FOB Port-la-nouvelle (base juillet)</t>
  </si>
  <si>
    <t>Evolution des cotations de maïs, FOB Atlantique (base juillet)</t>
  </si>
  <si>
    <t>Euro/
Tonnes</t>
  </si>
  <si>
    <t>Evolution des cotations de Colza, rendu Rouen</t>
  </si>
  <si>
    <t>juillet</t>
  </si>
  <si>
    <t>source : Agreste</t>
  </si>
  <si>
    <t>Evolution des cotations de Tournesol, rendu Bordeaux</t>
  </si>
  <si>
    <t>Evolution des surfaces de blé Occitanie  depuis 2000 (1000 ha)</t>
  </si>
  <si>
    <t>Année</t>
  </si>
  <si>
    <t>Evolution  2023/2024</t>
  </si>
  <si>
    <t>Blé tendre</t>
  </si>
  <si>
    <t>Blé dur</t>
  </si>
  <si>
    <t>Total sole blé</t>
  </si>
  <si>
    <t xml:space="preserve">Source - Agreste - Statistique agricole annuelle </t>
  </si>
  <si>
    <t>Evolution des surfaces de blé dur Occitanie</t>
  </si>
  <si>
    <t>Moyenne2020/2024</t>
  </si>
  <si>
    <t>Occitanie</t>
  </si>
  <si>
    <t>dont</t>
  </si>
  <si>
    <t xml:space="preserve">Haute-Garonne </t>
  </si>
  <si>
    <t xml:space="preserve"> Aude</t>
  </si>
  <si>
    <t xml:space="preserve"> Gers</t>
  </si>
  <si>
    <t>Total des 4 départements</t>
  </si>
  <si>
    <t>Part des 4 départements</t>
  </si>
  <si>
    <t>Source - Agreste - Statistique agricole annuelle  2024</t>
  </si>
  <si>
    <t>(1 bis) : SAA 2024 sauf pour Aude et Gard (estimation SRISET)</t>
  </si>
  <si>
    <t>Agreste - SAA définitive</t>
  </si>
  <si>
    <t>(5) : SAA 2024 Définitive</t>
  </si>
  <si>
    <t>Estimation des rendements et de leurs écarts aux moyennes pour les principales cultures : blé tendre, blé dur, orge, maïs, sorgho, colza, tournesol, soja</t>
  </si>
  <si>
    <t>Estimation des surfaces et de leurs écarts aux moyennes pour les principales cultures : blé tendre, blé dur, orge, maïs, sorgho, colza, tournesol, soja</t>
  </si>
  <si>
    <t>(1) : SAA 2024 Définitive</t>
  </si>
  <si>
    <t>(5) : SAA 2024 définitive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</si>
</sst>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_-;\-* #,##0.00\ _€_-;_-* &quot;-&quot;??\ _€_-;_-@_-"/>
    <numFmt numFmtId="165" formatCode="0&quot;  &quot;"/>
    <numFmt numFmtId="166" formatCode="* #,##0\ ;* \(#,##0\);* &quot;- &quot;;@\ "/>
    <numFmt numFmtId="167" formatCode="#,##0.00\ [$€-40C];[Red]\-#,##0.00\ [$€-40C]"/>
    <numFmt numFmtId="168" formatCode="_-* #,##0\ _€_-;\-* #,##0\ _€_-;_-* &quot;-&quot;??\ _€_-;_-@_-"/>
    <numFmt numFmtId="169" formatCode="mm/dd/yyyy\ hh:mm:ss"/>
    <numFmt numFmtId="170" formatCode="0.0"/>
    <numFmt numFmtId="171" formatCode="#.0"/>
    <numFmt numFmtId="172" formatCode="yyyy"/>
    <numFmt numFmtId="173" formatCode="#,##0\ "/>
  </numFmts>
  <fonts count="88">
    <font>
      <sz val="10"/>
      <color rgb="FF000000"/>
      <name val="Arial"/>
    </font>
    <font>
      <sz val="11"/>
      <color rgb="FFCC0000"/>
      <name val="Arial"/>
      <family val="2"/>
    </font>
    <font>
      <b/>
      <sz val="12"/>
      <color rgb="FF000000"/>
      <name val="Marianne"/>
      <family val="3"/>
    </font>
    <font>
      <sz val="11"/>
      <color rgb="FF000000"/>
      <name val="Marianne"/>
      <family val="3"/>
    </font>
    <font>
      <sz val="9"/>
      <color rgb="FF000000"/>
      <name val="Marianne"/>
      <family val="3"/>
    </font>
    <font>
      <b/>
      <sz val="11"/>
      <color rgb="FF000000"/>
      <name val="Marianne"/>
      <family val="3"/>
    </font>
    <font>
      <i/>
      <sz val="11"/>
      <color rgb="FF000000"/>
      <name val="Marianne"/>
      <family val="3"/>
    </font>
    <font>
      <sz val="10"/>
      <color rgb="FF000000"/>
      <name val="Arial1"/>
    </font>
    <font>
      <b/>
      <sz val="10"/>
      <color rgb="FF000000"/>
      <name val="Arial1"/>
    </font>
    <font>
      <sz val="9"/>
      <color rgb="FF000000"/>
      <name val="Arial1"/>
    </font>
    <font>
      <i/>
      <sz val="9"/>
      <color rgb="FF000000"/>
      <name val="Arial1"/>
    </font>
    <font>
      <i/>
      <sz val="9"/>
      <color rgb="FF3366FF"/>
      <name val="Arial1"/>
    </font>
    <font>
      <i/>
      <sz val="9"/>
      <color rgb="FF0000FF"/>
      <name val="Arial1"/>
    </font>
    <font>
      <sz val="10"/>
      <name val="Arial"/>
      <family val="2"/>
    </font>
    <font>
      <b/>
      <sz val="10"/>
      <name val="Arial"/>
      <family val="2"/>
    </font>
    <font>
      <sz val="10"/>
      <color rgb="FF000000"/>
      <name val="Arial"/>
      <family val="2"/>
    </font>
    <font>
      <sz val="11"/>
      <color indexed="8"/>
      <name val="Calibri"/>
      <family val="2"/>
    </font>
    <font>
      <sz val="11"/>
      <color indexed="9"/>
      <name val="Calibri"/>
      <family val="2"/>
    </font>
    <font>
      <b/>
      <sz val="11"/>
      <color indexed="52"/>
      <name val="Calibri"/>
      <family val="2"/>
    </font>
    <font>
      <sz val="11"/>
      <color indexed="62"/>
      <name val="Calibri"/>
      <family val="2"/>
    </font>
    <font>
      <sz val="9"/>
      <color indexed="18"/>
      <name val="Arial"/>
      <family val="2"/>
    </font>
    <font>
      <u/>
      <sz val="10"/>
      <name val="Arial"/>
      <family val="2"/>
    </font>
    <font>
      <b/>
      <sz val="11"/>
      <color indexed="63"/>
      <name val="Calibri"/>
      <family val="2"/>
    </font>
    <font>
      <b/>
      <sz val="18"/>
      <color indexed="56"/>
      <name val="Cambria"/>
      <family val="2"/>
    </font>
    <font>
      <b/>
      <sz val="18"/>
      <color indexed="62"/>
      <name val="Cambria"/>
      <family val="2"/>
    </font>
    <font>
      <u/>
      <sz val="10"/>
      <color indexed="30"/>
      <name val="Arial"/>
      <family val="2"/>
    </font>
    <font>
      <b/>
      <sz val="11"/>
      <name val="Arial"/>
      <family val="2"/>
    </font>
    <font>
      <i/>
      <sz val="10"/>
      <name val="Arial"/>
      <family val="2"/>
    </font>
    <font>
      <sz val="10"/>
      <color indexed="10"/>
      <name val="Arial"/>
      <family val="2"/>
    </font>
    <font>
      <sz val="10"/>
      <color rgb="FF000000"/>
      <name val="Arial"/>
      <family val="2"/>
    </font>
    <font>
      <sz val="11"/>
      <name val="Marianne"/>
      <family val="3"/>
    </font>
    <font>
      <u/>
      <sz val="10"/>
      <color theme="10"/>
      <name val="Arial"/>
      <family val="2"/>
    </font>
    <font>
      <sz val="10"/>
      <color rgb="FF000000"/>
      <name val="Marianne"/>
      <family val="3"/>
    </font>
    <font>
      <b/>
      <sz val="10"/>
      <color rgb="FF000000"/>
      <name val="Marianne"/>
      <family val="3"/>
    </font>
    <font>
      <b/>
      <sz val="9"/>
      <color rgb="FF000000"/>
      <name val="Marianne"/>
      <family val="3"/>
    </font>
    <font>
      <b/>
      <sz val="9"/>
      <name val="Marianne"/>
      <family val="3"/>
    </font>
    <font>
      <sz val="9"/>
      <name val="Marianne"/>
      <family val="3"/>
    </font>
    <font>
      <b/>
      <sz val="9"/>
      <color rgb="FFFFFFFF"/>
      <name val="Marianne"/>
      <family val="3"/>
    </font>
    <font>
      <b/>
      <sz val="9"/>
      <color rgb="FF0000FF"/>
      <name val="Marianne"/>
      <family val="3"/>
    </font>
    <font>
      <i/>
      <sz val="9"/>
      <color rgb="FF000000"/>
      <name val="Marianne"/>
      <family val="3"/>
    </font>
    <font>
      <b/>
      <i/>
      <sz val="9"/>
      <color rgb="FF0000FF"/>
      <name val="Marianne"/>
      <family val="3"/>
    </font>
    <font>
      <i/>
      <sz val="9"/>
      <color rgb="FF0000FF"/>
      <name val="Marianne"/>
      <family val="3"/>
    </font>
    <font>
      <b/>
      <sz val="10"/>
      <name val="Marianne"/>
      <family val="3"/>
    </font>
    <font>
      <sz val="10"/>
      <color rgb="FF000000"/>
      <name val="Arial"/>
      <family val="2"/>
    </font>
    <font>
      <sz val="10"/>
      <color indexed="39"/>
      <name val="Arial"/>
      <family val="2"/>
    </font>
    <font>
      <b/>
      <i/>
      <sz val="9"/>
      <color rgb="FFFF0000"/>
      <name val="Marianne"/>
      <family val="3"/>
    </font>
    <font>
      <i/>
      <sz val="9"/>
      <color rgb="FFFF0000"/>
      <name val="Marianne"/>
      <family val="3"/>
    </font>
    <font>
      <sz val="9"/>
      <color rgb="FF3366FF"/>
      <name val="Marianne"/>
      <family val="3"/>
    </font>
    <font>
      <b/>
      <i/>
      <sz val="9"/>
      <color rgb="FF0000FF"/>
      <name val="Arial1"/>
    </font>
    <font>
      <u/>
      <sz val="11"/>
      <color rgb="FF000000"/>
      <name val="Marianne"/>
      <family val="3"/>
    </font>
    <font>
      <b/>
      <sz val="11"/>
      <color rgb="FFFF0000"/>
      <name val="Marianne"/>
      <family val="3"/>
    </font>
    <font>
      <b/>
      <u/>
      <sz val="11"/>
      <color rgb="FF000000"/>
      <name val="Marianne"/>
      <family val="3"/>
    </font>
    <font>
      <b/>
      <sz val="15"/>
      <color rgb="FF008080"/>
      <name val="Marianne"/>
      <family val="3"/>
    </font>
    <font>
      <b/>
      <u/>
      <sz val="10"/>
      <color theme="10"/>
      <name val="Marianne"/>
      <family val="3"/>
    </font>
    <font>
      <b/>
      <sz val="10"/>
      <color rgb="FFFF0000"/>
      <name val="Arial"/>
      <family val="2"/>
    </font>
    <font>
      <i/>
      <sz val="9"/>
      <name val="Marianne"/>
      <family val="3"/>
    </font>
    <font>
      <b/>
      <sz val="9"/>
      <color rgb="FF252AFF"/>
      <name val="Marianne"/>
      <family val="3"/>
    </font>
    <font>
      <sz val="9"/>
      <color rgb="FF252AFF"/>
      <name val="Marianne"/>
      <family val="3"/>
    </font>
    <font>
      <b/>
      <i/>
      <sz val="9"/>
      <color rgb="FF252AFF"/>
      <name val="Marianne"/>
      <family val="3"/>
    </font>
    <font>
      <i/>
      <sz val="9"/>
      <color rgb="FF252AFF"/>
      <name val="Marianne"/>
      <family val="3"/>
    </font>
    <font>
      <u/>
      <sz val="11"/>
      <color rgb="FF008080"/>
      <name val="Marianne"/>
      <family val="3"/>
    </font>
    <font>
      <sz val="10"/>
      <color rgb="FF000000"/>
      <name val="Arial"/>
    </font>
    <font>
      <sz val="10"/>
      <color theme="1"/>
      <name val="Arial"/>
      <family val="2"/>
    </font>
    <font>
      <sz val="10"/>
      <name val="Marianne"/>
      <family val="3"/>
    </font>
    <font>
      <sz val="12"/>
      <name val="Marianne"/>
      <family val="3"/>
    </font>
    <font>
      <sz val="12"/>
      <name val="Arial"/>
      <family val="2"/>
    </font>
    <font>
      <sz val="12"/>
      <color theme="1"/>
      <name val="Marianne"/>
      <family val="3"/>
    </font>
    <font>
      <sz val="8"/>
      <name val="Arial"/>
      <family val="2"/>
    </font>
    <font>
      <sz val="8"/>
      <name val="Marianne"/>
      <family val="3"/>
    </font>
    <font>
      <b/>
      <sz val="8"/>
      <color theme="1"/>
      <name val="Marianne"/>
      <family val="3"/>
    </font>
    <font>
      <sz val="7.5"/>
      <color theme="1"/>
      <name val="Marianne"/>
      <family val="3"/>
    </font>
    <font>
      <sz val="8"/>
      <color theme="1"/>
      <name val="Arial"/>
      <family val="2"/>
    </font>
    <font>
      <sz val="8"/>
      <color theme="1"/>
      <name val="Marianne"/>
      <family val="3"/>
    </font>
    <font>
      <sz val="7.5"/>
      <name val="Marianne"/>
      <family val="3"/>
    </font>
    <font>
      <sz val="8"/>
      <color indexed="8"/>
      <name val="Arial"/>
      <family val="2"/>
    </font>
    <font>
      <sz val="10"/>
      <color theme="1"/>
      <name val="Marianne"/>
      <family val="3"/>
    </font>
    <font>
      <b/>
      <sz val="8"/>
      <name val="Arial"/>
      <family val="2"/>
    </font>
    <font>
      <b/>
      <sz val="11"/>
      <color theme="1"/>
      <name val="Marianne"/>
      <family val="3"/>
    </font>
    <font>
      <sz val="11"/>
      <color theme="1"/>
      <name val="Arial"/>
      <family val="2"/>
    </font>
    <font>
      <sz val="11"/>
      <color indexed="48"/>
      <name val="Arial"/>
      <family val="2"/>
    </font>
    <font>
      <sz val="11"/>
      <color indexed="30"/>
      <name val="Arial"/>
      <family val="2"/>
    </font>
    <font>
      <b/>
      <sz val="9"/>
      <color theme="1"/>
      <name val="Arial"/>
      <family val="2"/>
    </font>
    <font>
      <sz val="10"/>
      <name val="Calibri Light"/>
      <family val="2"/>
    </font>
    <font>
      <sz val="8"/>
      <name val="Calibri Light"/>
      <family val="2"/>
    </font>
    <font>
      <b/>
      <sz val="7"/>
      <name val="Arial"/>
      <family val="2"/>
    </font>
    <font>
      <sz val="8"/>
      <color indexed="9"/>
      <name val="Arial"/>
      <family val="2"/>
    </font>
    <font>
      <b/>
      <sz val="9"/>
      <name val="Arial"/>
      <family val="2"/>
    </font>
    <font>
      <sz val="8"/>
      <color indexed="10"/>
      <name val="Arial"/>
      <family val="2"/>
    </font>
  </fonts>
  <fills count="32">
    <fill>
      <patternFill patternType="none"/>
    </fill>
    <fill>
      <patternFill patternType="gray125"/>
    </fill>
    <fill>
      <patternFill patternType="solid">
        <fgColor rgb="FFFFFFFF"/>
        <bgColor rgb="FFFFFFCC"/>
      </patternFill>
    </fill>
    <fill>
      <patternFill patternType="solid">
        <fgColor rgb="FFCCFFCC"/>
        <bgColor rgb="FFCCFFFF"/>
      </patternFill>
    </fill>
    <fill>
      <patternFill patternType="solid">
        <fgColor rgb="FFFFFF99"/>
        <bgColor rgb="FFFFFFCC"/>
      </patternFill>
    </fill>
    <fill>
      <patternFill patternType="solid">
        <fgColor rgb="FF339966"/>
        <bgColor rgb="FF008080"/>
      </patternFill>
    </fill>
    <fill>
      <patternFill patternType="solid">
        <fgColor theme="0"/>
        <bgColor indexed="64"/>
      </patternFill>
    </fill>
    <fill>
      <patternFill patternType="solid">
        <fgColor indexed="31"/>
        <bgColor indexed="22"/>
      </patternFill>
    </fill>
    <fill>
      <patternFill patternType="solid">
        <fgColor indexed="27"/>
        <bgColor indexed="41"/>
      </patternFill>
    </fill>
    <fill>
      <patternFill patternType="solid">
        <fgColor indexed="47"/>
        <bgColor indexed="22"/>
      </patternFill>
    </fill>
    <fill>
      <patternFill patternType="solid">
        <fgColor indexed="51"/>
        <bgColor indexed="13"/>
      </patternFill>
    </fill>
    <fill>
      <patternFill patternType="solid">
        <fgColor indexed="30"/>
        <bgColor indexed="21"/>
      </patternFill>
    </fill>
    <fill>
      <patternFill patternType="solid">
        <fgColor indexed="49"/>
        <bgColor indexed="40"/>
      </patternFill>
    </fill>
    <fill>
      <patternFill patternType="solid">
        <fgColor indexed="52"/>
        <bgColor indexed="45"/>
      </patternFill>
    </fill>
    <fill>
      <patternFill patternType="solid">
        <fgColor indexed="22"/>
        <bgColor indexed="44"/>
      </patternFill>
    </fill>
    <fill>
      <patternFill patternType="solid">
        <fgColor indexed="26"/>
        <bgColor indexed="9"/>
      </patternFill>
    </fill>
    <fill>
      <patternFill patternType="solid">
        <fgColor theme="2"/>
        <bgColor rgb="FFCCFFFF"/>
      </patternFill>
    </fill>
    <fill>
      <patternFill patternType="solid">
        <fgColor theme="2"/>
        <bgColor indexed="64"/>
      </patternFill>
    </fill>
    <fill>
      <patternFill patternType="solid">
        <fgColor theme="7" tint="0.59999389629810485"/>
        <bgColor rgb="FFFFFFCC"/>
      </patternFill>
    </fill>
    <fill>
      <patternFill patternType="solid">
        <fgColor theme="7" tint="0.59999389629810485"/>
        <bgColor indexed="64"/>
      </patternFill>
    </fill>
    <fill>
      <patternFill patternType="solid">
        <fgColor theme="0"/>
        <bgColor rgb="FFFFFFCC"/>
      </patternFill>
    </fill>
    <fill>
      <patternFill patternType="solid">
        <fgColor theme="0"/>
        <bgColor rgb="FFCCFFFF"/>
      </patternFill>
    </fill>
    <fill>
      <patternFill patternType="lightUp">
        <bgColor theme="2"/>
      </patternFill>
    </fill>
    <fill>
      <patternFill patternType="solid">
        <fgColor theme="4" tint="0.79998168889431442"/>
        <bgColor indexed="64"/>
      </patternFill>
    </fill>
    <fill>
      <patternFill patternType="solid">
        <fgColor theme="4" tint="0.79998168889431442"/>
        <bgColor rgb="FFFFFFCC"/>
      </patternFill>
    </fill>
    <fill>
      <patternFill patternType="solid">
        <fgColor theme="4" tint="0.79998168889431442"/>
        <bgColor rgb="FFCCFFFF"/>
      </patternFill>
    </fill>
    <fill>
      <patternFill patternType="solid">
        <fgColor rgb="FFCCFFCC"/>
        <bgColor rgb="FFCCFFCC"/>
      </patternFill>
    </fill>
    <fill>
      <patternFill patternType="solid">
        <fgColor theme="2"/>
        <bgColor theme="2"/>
      </patternFill>
    </fill>
    <fill>
      <patternFill patternType="solid">
        <fgColor indexed="22"/>
      </patternFill>
    </fill>
    <fill>
      <patternFill patternType="solid">
        <fgColor theme="8" tint="0.79998168889431442"/>
        <bgColor indexed="64"/>
      </patternFill>
    </fill>
    <fill>
      <patternFill patternType="solid">
        <fgColor theme="0"/>
        <bgColor indexed="26"/>
      </patternFill>
    </fill>
    <fill>
      <patternFill patternType="lightHorizontal">
        <fgColor theme="0" tint="-0.24994659260841701"/>
        <bgColor theme="2"/>
      </patternFill>
    </fill>
  </fills>
  <borders count="158">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top/>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indexed="23"/>
      </left>
      <right style="hair">
        <color indexed="23"/>
      </right>
      <top style="hair">
        <color indexed="23"/>
      </top>
      <bottom style="hair">
        <color indexed="23"/>
      </bottom>
      <diagonal/>
    </border>
    <border>
      <left style="hair">
        <color indexed="22"/>
      </left>
      <right style="hair">
        <color indexed="22"/>
      </right>
      <top style="hair">
        <color indexed="22"/>
      </top>
      <bottom style="hair">
        <color indexed="22"/>
      </bottom>
      <diagonal/>
    </border>
    <border>
      <left style="hair">
        <color indexed="63"/>
      </left>
      <right style="hair">
        <color indexed="63"/>
      </right>
      <top style="hair">
        <color indexed="63"/>
      </top>
      <bottom style="hair">
        <color indexed="63"/>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hair">
        <color indexed="64"/>
      </left>
      <right/>
      <top/>
      <bottom style="dotted">
        <color indexed="64"/>
      </bottom>
      <diagonal/>
    </border>
    <border>
      <left/>
      <right style="hair">
        <color indexed="64"/>
      </right>
      <top/>
      <bottom style="dotted">
        <color indexed="64"/>
      </bottom>
      <diagonal/>
    </border>
    <border>
      <left style="medium">
        <color auto="1"/>
      </left>
      <right style="medium">
        <color auto="1"/>
      </right>
      <top style="medium">
        <color auto="1"/>
      </top>
      <bottom style="medium">
        <color auto="1"/>
      </bottom>
      <diagonal/>
    </border>
    <border>
      <left style="hair">
        <color indexed="64"/>
      </left>
      <right style="hair">
        <color indexed="64"/>
      </right>
      <top/>
      <bottom style="dotted">
        <color indexed="64"/>
      </bottom>
      <diagonal/>
    </border>
    <border>
      <left style="medium">
        <color auto="1"/>
      </left>
      <right/>
      <top style="medium">
        <color auto="1"/>
      </top>
      <bottom style="medium">
        <color auto="1"/>
      </bottom>
      <diagonal/>
    </border>
    <border>
      <left style="hair">
        <color indexed="64"/>
      </left>
      <right/>
      <top style="medium">
        <color auto="1"/>
      </top>
      <bottom style="medium">
        <color auto="1"/>
      </bottom>
      <diagonal/>
    </border>
    <border>
      <left/>
      <right/>
      <top style="medium">
        <color auto="1"/>
      </top>
      <bottom style="medium">
        <color auto="1"/>
      </bottom>
      <diagonal/>
    </border>
    <border>
      <left style="medium">
        <color auto="1"/>
      </left>
      <right style="hair">
        <color indexed="64"/>
      </right>
      <top style="medium">
        <color auto="1"/>
      </top>
      <bottom style="medium">
        <color auto="1"/>
      </bottom>
      <diagonal/>
    </border>
    <border>
      <left style="medium">
        <color indexed="64"/>
      </left>
      <right style="hair">
        <color indexed="64"/>
      </right>
      <top/>
      <bottom style="dotted">
        <color indexed="64"/>
      </bottom>
      <diagonal/>
    </border>
    <border>
      <left style="medium">
        <color indexed="64"/>
      </left>
      <right style="hair">
        <color indexed="64"/>
      </right>
      <top style="dotted">
        <color indexed="64"/>
      </top>
      <bottom/>
      <diagonal/>
    </border>
    <border>
      <left style="medium">
        <color indexed="64"/>
      </left>
      <right style="hair">
        <color indexed="64"/>
      </right>
      <top style="dotted">
        <color indexed="64"/>
      </top>
      <bottom style="medium">
        <color indexed="64"/>
      </bottom>
      <diagonal/>
    </border>
    <border>
      <left style="hair">
        <color auto="1"/>
      </left>
      <right/>
      <top style="dotted">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style="dotted">
        <color indexed="64"/>
      </right>
      <top style="medium">
        <color auto="1"/>
      </top>
      <bottom style="medium">
        <color auto="1"/>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style="dotted">
        <color indexed="64"/>
      </top>
      <bottom style="medium">
        <color indexed="64"/>
      </bottom>
      <diagonal/>
    </border>
    <border>
      <left style="dotted">
        <color indexed="64"/>
      </left>
      <right style="dotted">
        <color indexed="64"/>
      </right>
      <top style="medium">
        <color auto="1"/>
      </top>
      <bottom style="dotted">
        <color indexed="64"/>
      </bottom>
      <diagonal/>
    </border>
    <border>
      <left/>
      <right style="dotted">
        <color indexed="64"/>
      </right>
      <top style="medium">
        <color auto="1"/>
      </top>
      <bottom style="medium">
        <color auto="1"/>
      </bottom>
      <diagonal/>
    </border>
    <border>
      <left style="medium">
        <color indexed="64"/>
      </left>
      <right style="dotted">
        <color indexed="64"/>
      </right>
      <top style="medium">
        <color indexed="64"/>
      </top>
      <bottom style="medium">
        <color auto="1"/>
      </bottom>
      <diagonal/>
    </border>
    <border>
      <left style="dotted">
        <color indexed="64"/>
      </left>
      <right style="medium">
        <color indexed="64"/>
      </right>
      <top style="medium">
        <color indexed="64"/>
      </top>
      <bottom style="medium">
        <color auto="1"/>
      </bottom>
      <diagonal/>
    </border>
    <border>
      <left style="medium">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style="mediumDashed">
        <color indexed="64"/>
      </bottom>
      <diagonal/>
    </border>
    <border>
      <left style="medium">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medium">
        <color auto="1"/>
      </top>
      <bottom style="dotted">
        <color indexed="64"/>
      </bottom>
      <diagonal/>
    </border>
    <border>
      <left style="dotted">
        <color indexed="64"/>
      </left>
      <right style="medium">
        <color indexed="64"/>
      </right>
      <top style="medium">
        <color auto="1"/>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hair">
        <color indexed="64"/>
      </right>
      <top style="mediumDashDot">
        <color indexed="64"/>
      </top>
      <bottom style="dotted">
        <color indexed="64"/>
      </bottom>
      <diagonal/>
    </border>
    <border>
      <left style="hair">
        <color indexed="64"/>
      </left>
      <right/>
      <top style="mediumDashDot">
        <color indexed="64"/>
      </top>
      <bottom style="dotted">
        <color indexed="64"/>
      </bottom>
      <diagonal/>
    </border>
    <border>
      <left style="medium">
        <color indexed="64"/>
      </left>
      <right style="dotted">
        <color indexed="64"/>
      </right>
      <top style="mediumDashDot">
        <color indexed="64"/>
      </top>
      <bottom style="dotted">
        <color indexed="64"/>
      </bottom>
      <diagonal/>
    </border>
    <border>
      <left style="dotted">
        <color indexed="64"/>
      </left>
      <right style="dotted">
        <color indexed="64"/>
      </right>
      <top style="mediumDashDot">
        <color indexed="64"/>
      </top>
      <bottom style="dotted">
        <color indexed="64"/>
      </bottom>
      <diagonal/>
    </border>
    <border>
      <left style="dotted">
        <color indexed="64"/>
      </left>
      <right style="medium">
        <color indexed="64"/>
      </right>
      <top style="mediumDashDot">
        <color indexed="64"/>
      </top>
      <bottom style="dotted">
        <color indexed="64"/>
      </bottom>
      <diagonal/>
    </border>
    <border>
      <left/>
      <right style="hair">
        <color indexed="64"/>
      </right>
      <top style="mediumDashDot">
        <color indexed="64"/>
      </top>
      <bottom style="dotted">
        <color indexed="64"/>
      </bottom>
      <diagonal/>
    </border>
    <border>
      <left style="hair">
        <color indexed="64"/>
      </left>
      <right style="hair">
        <color indexed="64"/>
      </right>
      <top style="mediumDashDot">
        <color indexed="64"/>
      </top>
      <bottom style="dotted">
        <color indexed="64"/>
      </bottom>
      <diagonal/>
    </border>
    <border>
      <left style="medium">
        <color indexed="64"/>
      </left>
      <right style="hair">
        <color indexed="64"/>
      </right>
      <top style="dotted">
        <color indexed="64"/>
      </top>
      <bottom style="mediumDashDot">
        <color indexed="64"/>
      </bottom>
      <diagonal/>
    </border>
    <border>
      <left style="hair">
        <color auto="1"/>
      </left>
      <right/>
      <top style="dotted">
        <color indexed="64"/>
      </top>
      <bottom style="mediumDashDot">
        <color indexed="64"/>
      </bottom>
      <diagonal/>
    </border>
    <border>
      <left style="medium">
        <color indexed="64"/>
      </left>
      <right style="dotted">
        <color indexed="64"/>
      </right>
      <top style="dotted">
        <color indexed="64"/>
      </top>
      <bottom style="mediumDashDot">
        <color indexed="64"/>
      </bottom>
      <diagonal/>
    </border>
    <border>
      <left style="dotted">
        <color indexed="64"/>
      </left>
      <right style="dotted">
        <color indexed="64"/>
      </right>
      <top style="dotted">
        <color indexed="64"/>
      </top>
      <bottom style="mediumDashDot">
        <color indexed="64"/>
      </bottom>
      <diagonal/>
    </border>
    <border>
      <left style="dotted">
        <color indexed="64"/>
      </left>
      <right style="medium">
        <color indexed="64"/>
      </right>
      <top style="dotted">
        <color indexed="64"/>
      </top>
      <bottom style="mediumDashDot">
        <color indexed="64"/>
      </bottom>
      <diagonal/>
    </border>
    <border>
      <left/>
      <right style="dotted">
        <color indexed="64"/>
      </right>
      <top style="medium">
        <color indexed="64"/>
      </top>
      <bottom/>
      <diagonal/>
    </border>
    <border>
      <left/>
      <right style="dotted">
        <color indexed="64"/>
      </right>
      <top style="mediumDashDot">
        <color indexed="64"/>
      </top>
      <bottom style="dotted">
        <color indexed="64"/>
      </bottom>
      <diagonal/>
    </border>
    <border>
      <left style="medium">
        <color indexed="64"/>
      </left>
      <right style="hair">
        <color indexed="64"/>
      </right>
      <top style="medium">
        <color indexed="64"/>
      </top>
      <bottom style="dotted">
        <color indexed="64"/>
      </bottom>
      <diagonal/>
    </border>
    <border>
      <left style="hair">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right style="hair">
        <color indexed="64"/>
      </right>
      <top style="medium">
        <color indexed="64"/>
      </top>
      <bottom style="dotted">
        <color indexed="64"/>
      </bottom>
      <diagonal/>
    </border>
    <border>
      <left style="hair">
        <color indexed="64"/>
      </left>
      <right style="hair">
        <color indexed="64"/>
      </right>
      <top style="medium">
        <color indexed="64"/>
      </top>
      <bottom style="dotted">
        <color indexed="64"/>
      </bottom>
      <diagonal/>
    </border>
    <border>
      <left style="dotted">
        <color auto="1"/>
      </left>
      <right style="dotted">
        <color auto="1"/>
      </right>
      <top style="dotted">
        <color auto="1"/>
      </top>
      <bottom style="dotted">
        <color auto="1"/>
      </bottom>
      <diagonal/>
    </border>
    <border>
      <left style="medium">
        <color indexed="64"/>
      </left>
      <right style="dashed">
        <color auto="1"/>
      </right>
      <top style="medium">
        <color indexed="64"/>
      </top>
      <bottom style="medium">
        <color indexed="64"/>
      </bottom>
      <diagonal/>
    </border>
    <border>
      <left style="medium">
        <color indexed="64"/>
      </left>
      <right style="dotted">
        <color auto="1"/>
      </right>
      <top style="dotted">
        <color auto="1"/>
      </top>
      <bottom style="dotted">
        <color auto="1"/>
      </bottom>
      <diagonal/>
    </border>
    <border>
      <left style="dotted">
        <color auto="1"/>
      </left>
      <right style="medium">
        <color indexed="64"/>
      </right>
      <top style="dotted">
        <color auto="1"/>
      </top>
      <bottom style="dotted">
        <color auto="1"/>
      </bottom>
      <diagonal/>
    </border>
    <border>
      <left style="dotted">
        <color indexed="64"/>
      </left>
      <right/>
      <top style="medium">
        <color auto="1"/>
      </top>
      <bottom style="medium">
        <color auto="1"/>
      </bottom>
      <diagonal/>
    </border>
    <border>
      <left style="dotted">
        <color auto="1"/>
      </left>
      <right/>
      <top style="dotted">
        <color auto="1"/>
      </top>
      <bottom style="dotted">
        <color auto="1"/>
      </bottom>
      <diagonal/>
    </border>
    <border>
      <left style="dotted">
        <color indexed="64"/>
      </left>
      <right/>
      <top style="dotted">
        <color indexed="64"/>
      </top>
      <bottom style="mediumDashDot">
        <color indexed="64"/>
      </bottom>
      <diagonal/>
    </border>
    <border>
      <left style="dotted">
        <color indexed="64"/>
      </left>
      <right/>
      <top style="mediumDashDot">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auto="1"/>
      </top>
      <bottom style="dotted">
        <color auto="1"/>
      </bottom>
      <diagonal/>
    </border>
    <border>
      <left style="medium">
        <color indexed="64"/>
      </left>
      <right style="medium">
        <color indexed="64"/>
      </right>
      <top style="dotted">
        <color indexed="64"/>
      </top>
      <bottom style="mediumDashDot">
        <color indexed="64"/>
      </bottom>
      <diagonal/>
    </border>
    <border>
      <left style="medium">
        <color indexed="64"/>
      </left>
      <right style="medium">
        <color indexed="64"/>
      </right>
      <top style="mediumDashDot">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medium">
        <color indexed="64"/>
      </left>
      <right style="medium">
        <color indexed="64"/>
      </right>
      <top style="dotted">
        <color indexed="64"/>
      </top>
      <bottom/>
      <diagonal/>
    </border>
    <border>
      <left/>
      <right/>
      <top style="dotted">
        <color indexed="64"/>
      </top>
      <bottom style="mediumDashDot">
        <color indexed="64"/>
      </bottom>
      <diagonal/>
    </border>
    <border>
      <left style="medium">
        <color indexed="64"/>
      </left>
      <right/>
      <top style="dotted">
        <color indexed="64"/>
      </top>
      <bottom style="mediumDashDot">
        <color indexed="64"/>
      </bottom>
      <diagonal/>
    </border>
    <border>
      <left/>
      <right style="medium">
        <color indexed="64"/>
      </right>
      <top style="dotted">
        <color indexed="64"/>
      </top>
      <bottom style="mediumDashDot">
        <color indexed="64"/>
      </bottom>
      <diagonal/>
    </border>
    <border>
      <left/>
      <right style="hair">
        <color indexed="64"/>
      </right>
      <top style="hair">
        <color indexed="64"/>
      </top>
      <bottom style="hair">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auto="1"/>
      </left>
      <right style="medium">
        <color auto="1"/>
      </right>
      <top style="medium">
        <color auto="1"/>
      </top>
      <bottom style="dotted">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style="medium">
        <color indexed="64"/>
      </left>
      <right style="dotted">
        <color indexed="64"/>
      </right>
      <top style="mediumDashDot">
        <color indexed="64"/>
      </top>
      <bottom/>
      <diagonal/>
    </border>
    <border>
      <left style="medium">
        <color indexed="64"/>
      </left>
      <right style="dotted">
        <color indexed="64"/>
      </right>
      <top/>
      <bottom/>
      <diagonal/>
    </border>
    <border>
      <left style="medium">
        <color indexed="64"/>
      </left>
      <right style="dotted">
        <color indexed="64"/>
      </right>
      <top/>
      <bottom style="mediumDashDot">
        <color indexed="64"/>
      </bottom>
      <diagonal/>
    </border>
    <border>
      <left/>
      <right/>
      <top/>
      <bottom style="thin">
        <color indexed="21"/>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style="thick">
        <color theme="4" tint="0.39994506668294322"/>
      </right>
      <top style="thick">
        <color theme="4" tint="0.39994506668294322"/>
      </top>
      <bottom/>
      <diagonal/>
    </border>
    <border>
      <left style="thick">
        <color theme="4" tint="0.39994506668294322"/>
      </left>
      <right style="thick">
        <color theme="4" tint="0.39994506668294322"/>
      </right>
      <top/>
      <bottom/>
      <diagonal/>
    </border>
    <border>
      <left style="thick">
        <color theme="4" tint="0.39994506668294322"/>
      </left>
      <right style="thick">
        <color theme="4" tint="0.39994506668294322"/>
      </right>
      <top/>
      <bottom style="thick">
        <color theme="4" tint="0.39994506668294322"/>
      </bottom>
      <diagonal/>
    </border>
    <border>
      <left style="thick">
        <color theme="4" tint="0.59996337778862885"/>
      </left>
      <right style="thick">
        <color theme="4" tint="0.59996337778862885"/>
      </right>
      <top style="thick">
        <color theme="4" tint="0.59996337778862885"/>
      </top>
      <bottom/>
      <diagonal/>
    </border>
    <border>
      <left style="thick">
        <color theme="4" tint="0.59996337778862885"/>
      </left>
      <right style="thick">
        <color theme="4" tint="0.59996337778862885"/>
      </right>
      <top/>
      <bottom/>
      <diagonal/>
    </border>
    <border>
      <left style="thick">
        <color theme="4" tint="0.59996337778862885"/>
      </left>
      <right style="thick">
        <color theme="4" tint="0.59996337778862885"/>
      </right>
      <top/>
      <bottom style="thick">
        <color theme="4" tint="0.59996337778862885"/>
      </bottom>
      <diagonal/>
    </border>
    <border>
      <left style="thin">
        <color indexed="17"/>
      </left>
      <right style="hair">
        <color indexed="17"/>
      </right>
      <top style="thin">
        <color indexed="17"/>
      </top>
      <bottom style="thin">
        <color indexed="17"/>
      </bottom>
      <diagonal/>
    </border>
    <border>
      <left style="hair">
        <color indexed="17"/>
      </left>
      <right style="hair">
        <color indexed="17"/>
      </right>
      <top style="thin">
        <color indexed="17"/>
      </top>
      <bottom style="thin">
        <color indexed="17"/>
      </bottom>
      <diagonal/>
    </border>
    <border>
      <left style="thin">
        <color indexed="17"/>
      </left>
      <right/>
      <top style="thin">
        <color indexed="17"/>
      </top>
      <bottom style="thin">
        <color indexed="17"/>
      </bottom>
      <diagonal/>
    </border>
    <border>
      <left style="thin">
        <color indexed="64"/>
      </left>
      <right style="thin">
        <color indexed="64"/>
      </right>
      <top style="thin">
        <color indexed="64"/>
      </top>
      <bottom style="thin">
        <color indexed="17"/>
      </bottom>
      <diagonal/>
    </border>
    <border>
      <left style="thin">
        <color indexed="17"/>
      </left>
      <right style="thin">
        <color indexed="17"/>
      </right>
      <top/>
      <bottom/>
      <diagonal/>
    </border>
    <border>
      <left style="thin">
        <color indexed="17"/>
      </left>
      <right style="hair">
        <color indexed="17"/>
      </right>
      <top/>
      <bottom/>
      <diagonal/>
    </border>
    <border>
      <left style="thin">
        <color indexed="17"/>
      </left>
      <right/>
      <top/>
      <bottom/>
      <diagonal/>
    </border>
    <border>
      <left style="thin">
        <color indexed="17"/>
      </left>
      <right style="hair">
        <color indexed="17"/>
      </right>
      <top style="thin">
        <color indexed="17"/>
      </top>
      <bottom/>
      <diagonal/>
    </border>
    <border>
      <left style="thin">
        <color indexed="17"/>
      </left>
      <right style="thin">
        <color indexed="64"/>
      </right>
      <top style="thin">
        <color indexed="17"/>
      </top>
      <bottom/>
      <diagonal/>
    </border>
    <border>
      <left style="thin">
        <color indexed="17"/>
      </left>
      <right style="thin">
        <color indexed="17"/>
      </right>
      <top/>
      <bottom style="thin">
        <color indexed="17"/>
      </bottom>
      <diagonal/>
    </border>
    <border>
      <left style="thin">
        <color indexed="17"/>
      </left>
      <right style="hair">
        <color indexed="17"/>
      </right>
      <top/>
      <bottom style="thin">
        <color indexed="17"/>
      </bottom>
      <diagonal/>
    </border>
    <border>
      <left style="thin">
        <color indexed="17"/>
      </left>
      <right/>
      <top/>
      <bottom style="thin">
        <color indexed="17"/>
      </bottom>
      <diagonal/>
    </border>
    <border>
      <left style="thin">
        <color indexed="17"/>
      </left>
      <right style="thin">
        <color indexed="64"/>
      </right>
      <top/>
      <bottom style="thin">
        <color indexed="17"/>
      </bottom>
      <diagonal/>
    </border>
    <border>
      <left style="thin">
        <color indexed="64"/>
      </left>
      <right style="thin">
        <color indexed="64"/>
      </right>
      <top/>
      <bottom style="thin">
        <color indexed="64"/>
      </bottom>
      <diagonal/>
    </border>
    <border>
      <left/>
      <right style="hair">
        <color indexed="17"/>
      </right>
      <top style="thin">
        <color indexed="17"/>
      </top>
      <bottom style="thin">
        <color indexed="17"/>
      </bottom>
      <diagonal/>
    </border>
    <border>
      <left style="hair">
        <color indexed="17"/>
      </left>
      <right/>
      <top style="thin">
        <color indexed="17"/>
      </top>
      <bottom style="thin">
        <color indexed="17"/>
      </bottom>
      <diagonal/>
    </border>
    <border>
      <left style="medium">
        <color indexed="64"/>
      </left>
      <right style="medium">
        <color indexed="64"/>
      </right>
      <top style="medium">
        <color indexed="64"/>
      </top>
      <bottom style="thin">
        <color indexed="17"/>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medium">
        <color indexed="64"/>
      </left>
      <right style="medium">
        <color indexed="64"/>
      </right>
      <top style="thin">
        <color indexed="17"/>
      </top>
      <bottom/>
      <diagonal/>
    </border>
    <border>
      <left/>
      <right/>
      <top style="thin">
        <color indexed="17"/>
      </top>
      <bottom style="thin">
        <color indexed="17"/>
      </bottom>
      <diagonal/>
    </border>
    <border>
      <left style="medium">
        <color indexed="64"/>
      </left>
      <right style="medium">
        <color indexed="64"/>
      </right>
      <top style="thin">
        <color indexed="17"/>
      </top>
      <bottom style="thin">
        <color indexed="17"/>
      </bottom>
      <diagonal/>
    </border>
    <border>
      <left style="hair">
        <color indexed="17"/>
      </left>
      <right style="hair">
        <color indexed="17"/>
      </right>
      <top/>
      <bottom/>
      <diagonal/>
    </border>
    <border>
      <left style="hair">
        <color indexed="17"/>
      </left>
      <right/>
      <top/>
      <bottom/>
      <diagonal/>
    </border>
    <border>
      <left style="medium">
        <color indexed="64"/>
      </left>
      <right style="medium">
        <color indexed="64"/>
      </right>
      <top/>
      <bottom/>
      <diagonal/>
    </border>
    <border>
      <left style="medium">
        <color indexed="64"/>
      </left>
      <right style="medium">
        <color indexed="64"/>
      </right>
      <top style="thin">
        <color indexed="17"/>
      </top>
      <bottom style="medium">
        <color indexed="64"/>
      </bottom>
      <diagonal/>
    </border>
    <border>
      <left/>
      <right style="thin">
        <color auto="1"/>
      </right>
      <top/>
      <bottom/>
      <diagonal/>
    </border>
    <border>
      <left style="hair">
        <color indexed="64"/>
      </left>
      <right style="medium">
        <color indexed="64"/>
      </right>
      <top style="medium">
        <color indexed="64"/>
      </top>
      <bottom style="dotted">
        <color indexed="64"/>
      </bottom>
      <diagonal/>
    </border>
    <border>
      <left style="hair">
        <color indexed="64"/>
      </left>
      <right style="medium">
        <color indexed="64"/>
      </right>
      <top style="mediumDashDot">
        <color indexed="64"/>
      </top>
      <bottom style="dotted">
        <color indexed="64"/>
      </bottom>
      <diagonal/>
    </border>
    <border>
      <left style="hair">
        <color indexed="64"/>
      </left>
      <right style="medium">
        <color indexed="64"/>
      </right>
      <top style="medium">
        <color auto="1"/>
      </top>
      <bottom style="medium">
        <color auto="1"/>
      </bottom>
      <diagonal/>
    </border>
    <border>
      <left style="hair">
        <color indexed="64"/>
      </left>
      <right style="medium">
        <color indexed="64"/>
      </right>
      <top/>
      <bottom style="dotted">
        <color indexed="64"/>
      </bottom>
      <diagonal/>
    </border>
    <border>
      <left style="hair">
        <color indexed="64"/>
      </left>
      <right style="hair">
        <color indexed="64"/>
      </right>
      <top style="medium">
        <color indexed="64"/>
      </top>
      <bottom style="mediumDashDotDot">
        <color indexed="64"/>
      </bottom>
      <diagonal/>
    </border>
    <border>
      <left/>
      <right style="medium">
        <color auto="1"/>
      </right>
      <top style="medium">
        <color indexed="64"/>
      </top>
      <bottom style="mediumDashDotDot">
        <color indexed="64"/>
      </bottom>
      <diagonal/>
    </border>
    <border>
      <left style="dotted">
        <color auto="1"/>
      </left>
      <right style="dotted">
        <color auto="1"/>
      </right>
      <top style="dotted">
        <color auto="1"/>
      </top>
      <bottom style="mediumDashed">
        <color auto="1"/>
      </bottom>
      <diagonal/>
    </border>
    <border>
      <left style="dotted">
        <color auto="1"/>
      </left>
      <right style="dotted">
        <color auto="1"/>
      </right>
      <top style="dotted">
        <color auto="1"/>
      </top>
      <bottom style="mediumDashDotDot">
        <color auto="1"/>
      </bottom>
      <diagonal/>
    </border>
  </borders>
  <cellStyleXfs count="41">
    <xf numFmtId="0" fontId="0" fillId="0" borderId="0">
      <protection locked="0"/>
    </xf>
    <xf numFmtId="9" fontId="13" fillId="0" borderId="0" applyFill="0" applyBorder="0" applyAlignment="0" applyProtection="0"/>
    <xf numFmtId="0" fontId="13" fillId="0" borderId="0"/>
    <xf numFmtId="0" fontId="1" fillId="0" borderId="0" applyBorder="0">
      <protection locked="0"/>
    </xf>
    <xf numFmtId="9" fontId="15" fillId="0" borderId="0" applyFont="0" applyFill="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2" borderId="0" applyNumberFormat="0" applyBorder="0" applyAlignment="0" applyProtection="0"/>
    <xf numFmtId="0" fontId="18" fillId="14" borderId="9" applyNumberFormat="0" applyAlignment="0" applyProtection="0"/>
    <xf numFmtId="166" fontId="13" fillId="0" borderId="0" applyFill="0" applyBorder="0" applyAlignment="0" applyProtection="0"/>
    <xf numFmtId="0" fontId="13" fillId="15" borderId="10" applyNumberFormat="0" applyAlignment="0" applyProtection="0"/>
    <xf numFmtId="166" fontId="13" fillId="0" borderId="0" applyFill="0" applyBorder="0" applyAlignment="0" applyProtection="0"/>
    <xf numFmtId="0" fontId="13" fillId="0" borderId="0" applyNumberFormat="0" applyFill="0" applyBorder="0" applyProtection="0">
      <alignment horizontal="center"/>
    </xf>
    <xf numFmtId="0" fontId="19" fillId="9" borderId="9" applyNumberFormat="0" applyAlignment="0" applyProtection="0"/>
    <xf numFmtId="0" fontId="25" fillId="0" borderId="0" applyNumberFormat="0" applyFill="0" applyBorder="0" applyAlignment="0" applyProtection="0"/>
    <xf numFmtId="164" fontId="13" fillId="0" borderId="0" applyFill="0" applyBorder="0" applyAlignment="0" applyProtection="0"/>
    <xf numFmtId="164" fontId="13" fillId="0" borderId="0" applyFont="0" applyFill="0" applyBorder="0" applyAlignment="0" applyProtection="0"/>
    <xf numFmtId="0" fontId="20" fillId="0" borderId="0"/>
    <xf numFmtId="9" fontId="13" fillId="0" borderId="0" applyFont="0" applyFill="0" applyBorder="0" applyAlignment="0" applyProtection="0"/>
    <xf numFmtId="0" fontId="21" fillId="0" borderId="0" applyNumberFormat="0" applyFill="0" applyBorder="0" applyAlignment="0" applyProtection="0"/>
    <xf numFmtId="167" fontId="21" fillId="0" borderId="0" applyFill="0" applyBorder="0" applyAlignment="0" applyProtection="0"/>
    <xf numFmtId="0" fontId="22" fillId="14" borderId="11"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13" fillId="0" borderId="0" applyNumberFormat="0" applyFill="0" applyBorder="0" applyProtection="0">
      <alignment horizontal="center" textRotation="90"/>
    </xf>
    <xf numFmtId="164" fontId="29" fillId="0" borderId="0" applyFont="0" applyFill="0" applyBorder="0" applyAlignment="0" applyProtection="0"/>
    <xf numFmtId="0" fontId="15" fillId="0" borderId="0">
      <protection locked="0"/>
    </xf>
    <xf numFmtId="0" fontId="31" fillId="0" borderId="0" applyNumberFormat="0" applyFill="0" applyBorder="0" applyAlignment="0" applyProtection="0">
      <protection locked="0"/>
    </xf>
    <xf numFmtId="9" fontId="15" fillId="0" borderId="0" applyFont="0" applyFill="0" applyBorder="0" applyAlignment="0" applyProtection="0"/>
    <xf numFmtId="164" fontId="15" fillId="0" borderId="0" applyFont="0" applyFill="0" applyBorder="0" applyAlignment="0" applyProtection="0"/>
    <xf numFmtId="0" fontId="43" fillId="0" borderId="0">
      <protection locked="0"/>
    </xf>
    <xf numFmtId="0" fontId="61" fillId="28" borderId="0">
      <alignment wrapText="1"/>
    </xf>
    <xf numFmtId="0" fontId="61" fillId="0" borderId="0">
      <alignment wrapText="1"/>
    </xf>
    <xf numFmtId="0" fontId="61" fillId="0" borderId="0">
      <alignment wrapText="1"/>
    </xf>
    <xf numFmtId="0" fontId="61" fillId="0" borderId="0">
      <alignment wrapText="1"/>
    </xf>
    <xf numFmtId="169" fontId="61" fillId="0" borderId="0">
      <alignment wrapText="1"/>
    </xf>
  </cellStyleXfs>
  <cellXfs count="475">
    <xf numFmtId="0" fontId="0" fillId="0" borderId="0" xfId="0">
      <protection locked="0"/>
    </xf>
    <xf numFmtId="0" fontId="0" fillId="0" borderId="0" xfId="0">
      <protection locked="0"/>
    </xf>
    <xf numFmtId="0" fontId="5" fillId="0" borderId="0" xfId="0" applyFont="1">
      <protection locked="0"/>
    </xf>
    <xf numFmtId="0" fontId="3" fillId="0" borderId="3" xfId="0" applyFont="1" applyBorder="1">
      <protection locked="0"/>
    </xf>
    <xf numFmtId="0" fontId="3" fillId="0" borderId="0" xfId="0" applyFont="1">
      <protection locked="0"/>
    </xf>
    <xf numFmtId="0" fontId="3" fillId="3" borderId="0" xfId="0" applyFont="1" applyFill="1">
      <protection locked="0"/>
    </xf>
    <xf numFmtId="0" fontId="3" fillId="5" borderId="0" xfId="0" applyFont="1" applyFill="1">
      <protection locked="0"/>
    </xf>
    <xf numFmtId="0" fontId="3" fillId="0" borderId="1" xfId="0" applyFont="1" applyBorder="1">
      <protection locked="0"/>
    </xf>
    <xf numFmtId="0" fontId="3" fillId="0" borderId="2" xfId="0" applyFont="1" applyBorder="1">
      <protection locked="0"/>
    </xf>
    <xf numFmtId="0" fontId="3" fillId="0" borderId="4" xfId="0" applyFont="1" applyBorder="1">
      <protection locked="0"/>
    </xf>
    <xf numFmtId="0" fontId="3" fillId="3" borderId="5" xfId="0" applyFont="1" applyFill="1" applyBorder="1">
      <protection locked="0"/>
    </xf>
    <xf numFmtId="0" fontId="3" fillId="3" borderId="6" xfId="0" applyFont="1" applyFill="1" applyBorder="1">
      <protection locked="0"/>
    </xf>
    <xf numFmtId="0" fontId="3" fillId="5" borderId="6" xfId="0" applyFont="1" applyFill="1" applyBorder="1">
      <protection locked="0"/>
    </xf>
    <xf numFmtId="0" fontId="3" fillId="0" borderId="6" xfId="0" applyFont="1" applyBorder="1">
      <protection locked="0"/>
    </xf>
    <xf numFmtId="0" fontId="3" fillId="0" borderId="7" xfId="0" applyFont="1" applyBorder="1">
      <protection locked="0"/>
    </xf>
    <xf numFmtId="0" fontId="3" fillId="0" borderId="8" xfId="0" applyFont="1" applyBorder="1">
      <protection locked="0"/>
    </xf>
    <xf numFmtId="0" fontId="3" fillId="3" borderId="8" xfId="0" applyFont="1" applyFill="1" applyBorder="1">
      <protection locked="0"/>
    </xf>
    <xf numFmtId="0" fontId="3" fillId="3" borderId="1" xfId="0" applyFont="1" applyFill="1" applyBorder="1">
      <protection locked="0"/>
    </xf>
    <xf numFmtId="49" fontId="6" fillId="0" borderId="0" xfId="0" applyNumberFormat="1" applyFont="1" applyAlignment="1">
      <alignment horizontal="left" vertical="center"/>
      <protection locked="0"/>
    </xf>
    <xf numFmtId="0" fontId="0" fillId="0" borderId="0" xfId="0">
      <protection locked="0"/>
    </xf>
    <xf numFmtId="0" fontId="14" fillId="0" borderId="0" xfId="2" applyFont="1" applyFill="1"/>
    <xf numFmtId="0" fontId="13" fillId="0" borderId="0" xfId="2"/>
    <xf numFmtId="49" fontId="27" fillId="0" borderId="0" xfId="2" applyNumberFormat="1" applyFont="1" applyFill="1" applyBorder="1" applyAlignment="1">
      <alignment horizontal="left" vertical="center"/>
    </xf>
    <xf numFmtId="0" fontId="26" fillId="0" borderId="0" xfId="2" applyFont="1" applyFill="1" applyAlignment="1"/>
    <xf numFmtId="0" fontId="14" fillId="0" borderId="0" xfId="2" applyFont="1" applyFill="1" applyAlignment="1"/>
    <xf numFmtId="0" fontId="13" fillId="0" borderId="0" xfId="2" applyFill="1"/>
    <xf numFmtId="0" fontId="28" fillId="0" borderId="0" xfId="2" applyFont="1" applyFill="1" applyAlignment="1"/>
    <xf numFmtId="0" fontId="14" fillId="0" borderId="0" xfId="2" applyFont="1" applyAlignment="1">
      <alignment vertical="center"/>
    </xf>
    <xf numFmtId="165" fontId="13" fillId="0" borderId="0" xfId="2" applyNumberFormat="1"/>
    <xf numFmtId="0" fontId="15" fillId="0" borderId="0" xfId="31">
      <protection locked="0"/>
    </xf>
    <xf numFmtId="0" fontId="9" fillId="0" borderId="0" xfId="31" applyFont="1" applyFill="1" applyBorder="1" applyAlignment="1">
      <alignment vertical="center"/>
      <protection locked="0"/>
    </xf>
    <xf numFmtId="168" fontId="10" fillId="0" borderId="0" xfId="30" applyNumberFormat="1" applyFont="1" applyFill="1" applyBorder="1" applyAlignment="1" applyProtection="1">
      <alignment horizontal="right" vertical="center"/>
      <protection locked="0"/>
    </xf>
    <xf numFmtId="168" fontId="11" fillId="0" borderId="0" xfId="30" applyNumberFormat="1" applyFont="1" applyFill="1" applyBorder="1" applyAlignment="1" applyProtection="1">
      <alignment horizontal="right" vertical="center"/>
      <protection locked="0"/>
    </xf>
    <xf numFmtId="0" fontId="15" fillId="0" borderId="14" xfId="31" applyFont="1" applyBorder="1" applyAlignment="1">
      <alignment horizontal="center" vertical="center" wrapText="1" shrinkToFit="1"/>
      <protection locked="0"/>
    </xf>
    <xf numFmtId="0" fontId="30" fillId="0" borderId="0" xfId="2" applyFont="1" applyFill="1" applyBorder="1" applyAlignment="1">
      <alignment horizontal="left" vertical="center"/>
    </xf>
    <xf numFmtId="0" fontId="30" fillId="0" borderId="0" xfId="2" applyFont="1"/>
    <xf numFmtId="3" fontId="32" fillId="0" borderId="13" xfId="31" applyNumberFormat="1" applyFont="1" applyBorder="1">
      <protection locked="0"/>
    </xf>
    <xf numFmtId="3" fontId="32" fillId="4" borderId="13" xfId="31" applyNumberFormat="1" applyFont="1" applyFill="1" applyBorder="1">
      <protection locked="0"/>
    </xf>
    <xf numFmtId="0" fontId="7" fillId="0" borderId="0" xfId="0" applyFont="1" applyBorder="1" applyAlignment="1">
      <protection locked="0"/>
    </xf>
    <xf numFmtId="0" fontId="13" fillId="0" borderId="0" xfId="2" applyFont="1" applyFill="1" applyBorder="1" applyAlignment="1"/>
    <xf numFmtId="0" fontId="13" fillId="0" borderId="0" xfId="2" applyFill="1" applyBorder="1"/>
    <xf numFmtId="0" fontId="33" fillId="0" borderId="8" xfId="31" applyFont="1" applyBorder="1" applyAlignment="1">
      <alignment horizontal="center" vertical="center" wrapText="1" shrinkToFit="1"/>
      <protection locked="0"/>
    </xf>
    <xf numFmtId="0" fontId="32" fillId="0" borderId="8" xfId="31" applyFont="1" applyBorder="1" applyAlignment="1">
      <alignment horizontal="center" vertical="center" wrapText="1" shrinkToFit="1"/>
      <protection locked="0"/>
    </xf>
    <xf numFmtId="0" fontId="32" fillId="0" borderId="7" xfId="31" applyFont="1" applyBorder="1" applyAlignment="1">
      <alignment horizontal="center" vertical="center" wrapText="1" shrinkToFit="1"/>
      <protection locked="0"/>
    </xf>
    <xf numFmtId="0" fontId="28" fillId="0" borderId="15" xfId="2" applyFont="1" applyFill="1" applyBorder="1" applyAlignment="1"/>
    <xf numFmtId="0" fontId="13" fillId="0" borderId="15" xfId="2" applyBorder="1"/>
    <xf numFmtId="0" fontId="13" fillId="0" borderId="17" xfId="2" applyBorder="1"/>
    <xf numFmtId="0" fontId="13" fillId="0" borderId="18" xfId="2" applyBorder="1"/>
    <xf numFmtId="0" fontId="13" fillId="0" borderId="0" xfId="2" applyBorder="1"/>
    <xf numFmtId="0" fontId="13" fillId="0" borderId="19" xfId="2" applyBorder="1"/>
    <xf numFmtId="0" fontId="42" fillId="0" borderId="21" xfId="2" applyFont="1" applyBorder="1" applyAlignment="1">
      <alignment vertical="center"/>
    </xf>
    <xf numFmtId="0" fontId="42" fillId="0" borderId="22" xfId="2" applyFont="1" applyBorder="1" applyAlignment="1">
      <alignment vertical="center"/>
    </xf>
    <xf numFmtId="0" fontId="42" fillId="0" borderId="20" xfId="2" applyFont="1" applyBorder="1" applyAlignment="1">
      <alignment vertical="center"/>
    </xf>
    <xf numFmtId="9" fontId="13" fillId="0" borderId="0" xfId="4" applyFont="1"/>
    <xf numFmtId="3" fontId="13" fillId="0" borderId="0" xfId="2" applyNumberFormat="1"/>
    <xf numFmtId="9" fontId="10" fillId="0" borderId="0" xfId="33" applyFont="1" applyFill="1" applyBorder="1" applyAlignment="1" applyProtection="1">
      <alignment horizontal="right" vertical="center"/>
      <protection locked="0"/>
    </xf>
    <xf numFmtId="168" fontId="12" fillId="0" borderId="0" xfId="34" applyNumberFormat="1" applyFont="1" applyFill="1" applyBorder="1" applyAlignment="1" applyProtection="1">
      <alignment horizontal="right" vertical="center"/>
      <protection locked="0"/>
    </xf>
    <xf numFmtId="168" fontId="11" fillId="0" borderId="0" xfId="34" applyNumberFormat="1" applyFont="1" applyFill="1" applyBorder="1" applyAlignment="1" applyProtection="1">
      <alignment horizontal="right" vertical="center"/>
      <protection locked="0"/>
    </xf>
    <xf numFmtId="168" fontId="10" fillId="0" borderId="0" xfId="34" applyNumberFormat="1" applyFont="1" applyFill="1" applyBorder="1" applyAlignment="1" applyProtection="1">
      <alignment horizontal="right" vertical="center"/>
      <protection locked="0"/>
    </xf>
    <xf numFmtId="3" fontId="39" fillId="0" borderId="0" xfId="34" applyNumberFormat="1" applyFont="1" applyFill="1" applyBorder="1" applyAlignment="1" applyProtection="1">
      <alignment horizontal="right" vertical="center"/>
      <protection locked="0"/>
    </xf>
    <xf numFmtId="0" fontId="8" fillId="0" borderId="0" xfId="35" applyFont="1" applyBorder="1" applyAlignment="1">
      <alignment vertical="center"/>
      <protection locked="0"/>
    </xf>
    <xf numFmtId="0" fontId="7" fillId="0" borderId="0" xfId="35" applyFont="1" applyBorder="1" applyAlignment="1">
      <protection locked="0"/>
    </xf>
    <xf numFmtId="0" fontId="43" fillId="0" borderId="19" xfId="35" applyBorder="1">
      <protection locked="0"/>
    </xf>
    <xf numFmtId="0" fontId="43" fillId="0" borderId="0" xfId="35" applyBorder="1">
      <protection locked="0"/>
    </xf>
    <xf numFmtId="0" fontId="5" fillId="0" borderId="16" xfId="35" applyFont="1" applyBorder="1" applyAlignment="1">
      <protection locked="0"/>
    </xf>
    <xf numFmtId="0" fontId="44" fillId="0" borderId="0" xfId="2" applyFont="1"/>
    <xf numFmtId="1" fontId="13" fillId="0" borderId="0" xfId="2" applyNumberFormat="1"/>
    <xf numFmtId="0" fontId="15" fillId="0" borderId="18" xfId="35" applyFont="1" applyBorder="1">
      <protection locked="0"/>
    </xf>
    <xf numFmtId="0" fontId="14" fillId="0" borderId="0" xfId="2" applyFont="1" applyFill="1" applyBorder="1" applyAlignment="1">
      <alignment vertical="center"/>
    </xf>
    <xf numFmtId="9" fontId="13" fillId="0" borderId="0" xfId="4" applyFont="1" applyFill="1" applyBorder="1"/>
    <xf numFmtId="9" fontId="15" fillId="0" borderId="0" xfId="4" applyFill="1" applyBorder="1" applyProtection="1">
      <protection locked="0"/>
    </xf>
    <xf numFmtId="3" fontId="4" fillId="3" borderId="0" xfId="0" applyNumberFormat="1" applyFont="1" applyFill="1" applyBorder="1" applyAlignment="1">
      <alignment horizontal="right" vertical="center"/>
      <protection locked="0"/>
    </xf>
    <xf numFmtId="0" fontId="14" fillId="0" borderId="0" xfId="2" applyFont="1"/>
    <xf numFmtId="168" fontId="48" fillId="0" borderId="0" xfId="30" applyNumberFormat="1" applyFont="1" applyFill="1" applyBorder="1" applyAlignment="1" applyProtection="1">
      <alignment horizontal="right" vertical="center"/>
      <protection locked="0"/>
    </xf>
    <xf numFmtId="165" fontId="14" fillId="0" borderId="0" xfId="2" applyNumberFormat="1" applyFont="1"/>
    <xf numFmtId="0" fontId="13" fillId="0" borderId="0" xfId="2" applyFont="1" applyFill="1" applyBorder="1" applyAlignment="1">
      <alignment horizontal="left" vertical="center"/>
    </xf>
    <xf numFmtId="3" fontId="32" fillId="18" borderId="13" xfId="31" applyNumberFormat="1" applyFont="1" applyFill="1" applyBorder="1">
      <protection locked="0"/>
    </xf>
    <xf numFmtId="0" fontId="34" fillId="18" borderId="27" xfId="35" applyFont="1" applyFill="1" applyBorder="1" applyAlignment="1">
      <alignment vertical="center" wrapText="1"/>
      <protection locked="0"/>
    </xf>
    <xf numFmtId="0" fontId="34" fillId="18" borderId="30" xfId="35" applyFont="1" applyFill="1" applyBorder="1" applyAlignment="1">
      <alignment vertical="center" wrapText="1"/>
      <protection locked="0"/>
    </xf>
    <xf numFmtId="0" fontId="5" fillId="0" borderId="35" xfId="35" applyFont="1" applyBorder="1" applyAlignment="1">
      <protection locked="0"/>
    </xf>
    <xf numFmtId="0" fontId="7" fillId="0" borderId="36" xfId="35" applyFont="1" applyBorder="1" applyAlignment="1">
      <protection locked="0"/>
    </xf>
    <xf numFmtId="0" fontId="14" fillId="0" borderId="36" xfId="2" applyFont="1" applyFill="1" applyBorder="1" applyAlignment="1"/>
    <xf numFmtId="0" fontId="13" fillId="0" borderId="36" xfId="2" applyFill="1" applyBorder="1"/>
    <xf numFmtId="0" fontId="13" fillId="0" borderId="37" xfId="2" applyFill="1" applyBorder="1"/>
    <xf numFmtId="0" fontId="13" fillId="0" borderId="39" xfId="2" applyFill="1" applyBorder="1"/>
    <xf numFmtId="0" fontId="32" fillId="0" borderId="38" xfId="35" applyFont="1" applyBorder="1" applyAlignment="1">
      <protection locked="0"/>
    </xf>
    <xf numFmtId="0" fontId="33" fillId="0" borderId="40" xfId="35" applyFont="1" applyBorder="1" applyAlignment="1">
      <protection locked="0"/>
    </xf>
    <xf numFmtId="0" fontId="7" fillId="0" borderId="41" xfId="35" applyFont="1" applyBorder="1" applyAlignment="1">
      <protection locked="0"/>
    </xf>
    <xf numFmtId="0" fontId="13" fillId="0" borderId="41" xfId="2" applyFont="1" applyFill="1" applyBorder="1" applyAlignment="1"/>
    <xf numFmtId="0" fontId="13" fillId="0" borderId="41" xfId="2" applyFill="1" applyBorder="1"/>
    <xf numFmtId="0" fontId="13" fillId="0" borderId="42" xfId="2" applyFill="1" applyBorder="1"/>
    <xf numFmtId="3" fontId="39" fillId="19" borderId="43" xfId="34" applyNumberFormat="1" applyFont="1" applyFill="1" applyBorder="1" applyAlignment="1" applyProtection="1">
      <alignment horizontal="right" vertical="center"/>
      <protection locked="0"/>
    </xf>
    <xf numFmtId="3" fontId="39" fillId="18" borderId="43" xfId="34" applyNumberFormat="1" applyFont="1" applyFill="1" applyBorder="1" applyAlignment="1" applyProtection="1">
      <alignment horizontal="right" vertical="center"/>
      <protection locked="0"/>
    </xf>
    <xf numFmtId="0" fontId="4" fillId="18" borderId="28" xfId="35" applyFont="1" applyFill="1" applyBorder="1" applyAlignment="1">
      <alignment vertical="center"/>
      <protection locked="0"/>
    </xf>
    <xf numFmtId="3" fontId="39" fillId="19" borderId="49" xfId="34" applyNumberFormat="1" applyFont="1" applyFill="1" applyBorder="1" applyAlignment="1" applyProtection="1">
      <alignment horizontal="right" vertical="center"/>
      <protection locked="0"/>
    </xf>
    <xf numFmtId="3" fontId="39" fillId="19" borderId="50" xfId="34" applyNumberFormat="1" applyFont="1" applyFill="1" applyBorder="1" applyAlignment="1" applyProtection="1">
      <alignment horizontal="right" vertical="center"/>
      <protection locked="0"/>
    </xf>
    <xf numFmtId="3" fontId="39" fillId="18" borderId="49" xfId="34" applyNumberFormat="1" applyFont="1" applyFill="1" applyBorder="1" applyAlignment="1" applyProtection="1">
      <alignment horizontal="right" vertical="center"/>
      <protection locked="0"/>
    </xf>
    <xf numFmtId="3" fontId="39" fillId="18" borderId="50" xfId="34" applyNumberFormat="1" applyFont="1" applyFill="1" applyBorder="1" applyAlignment="1" applyProtection="1">
      <alignment horizontal="right" vertical="center"/>
      <protection locked="0"/>
    </xf>
    <xf numFmtId="0" fontId="37" fillId="0" borderId="60" xfId="35" applyFont="1" applyBorder="1" applyAlignment="1">
      <alignment horizontal="left" vertical="center" wrapText="1"/>
      <protection locked="0"/>
    </xf>
    <xf numFmtId="0" fontId="34" fillId="0" borderId="35" xfId="35" applyFont="1" applyBorder="1" applyAlignment="1">
      <alignment horizontal="center" vertical="center" wrapText="1"/>
      <protection locked="0"/>
    </xf>
    <xf numFmtId="0" fontId="34" fillId="0" borderId="62" xfId="35" applyFont="1" applyBorder="1" applyAlignment="1">
      <alignment horizontal="center" vertical="center" wrapText="1"/>
      <protection locked="0"/>
    </xf>
    <xf numFmtId="0" fontId="34" fillId="0" borderId="63" xfId="35" applyFont="1" applyBorder="1" applyAlignment="1">
      <alignment horizontal="center" vertical="center" wrapText="1"/>
      <protection locked="0"/>
    </xf>
    <xf numFmtId="0" fontId="4" fillId="3" borderId="73" xfId="35" applyFont="1" applyFill="1" applyBorder="1" applyAlignment="1">
      <alignment vertical="center"/>
      <protection locked="0"/>
    </xf>
    <xf numFmtId="0" fontId="34" fillId="0" borderId="64" xfId="35" applyFont="1" applyBorder="1" applyAlignment="1">
      <alignment horizontal="center" vertical="center" wrapText="1"/>
      <protection locked="0"/>
    </xf>
    <xf numFmtId="0" fontId="4" fillId="3" borderId="34" xfId="35" applyFont="1" applyFill="1" applyBorder="1" applyAlignment="1">
      <alignment vertical="center"/>
      <protection locked="0"/>
    </xf>
    <xf numFmtId="0" fontId="53" fillId="20" borderId="0" xfId="32" applyFont="1" applyFill="1">
      <protection locked="0"/>
    </xf>
    <xf numFmtId="3" fontId="4" fillId="21" borderId="84" xfId="0" applyNumberFormat="1" applyFont="1" applyFill="1" applyBorder="1" applyAlignment="1">
      <alignment horizontal="right" vertical="center"/>
      <protection locked="0"/>
    </xf>
    <xf numFmtId="3" fontId="47" fillId="21" borderId="84" xfId="0" applyNumberFormat="1" applyFont="1" applyFill="1" applyBorder="1" applyAlignment="1">
      <alignment horizontal="right" vertical="center"/>
      <protection locked="0"/>
    </xf>
    <xf numFmtId="9" fontId="4" fillId="17" borderId="84" xfId="4" applyFont="1" applyFill="1" applyBorder="1"/>
    <xf numFmtId="9" fontId="4" fillId="17" borderId="75" xfId="4" applyFont="1" applyFill="1" applyBorder="1"/>
    <xf numFmtId="0" fontId="7" fillId="0" borderId="36" xfId="0" applyFont="1" applyBorder="1" applyAlignment="1">
      <protection locked="0"/>
    </xf>
    <xf numFmtId="0" fontId="14" fillId="0" borderId="37" xfId="2" applyFont="1" applyFill="1" applyBorder="1"/>
    <xf numFmtId="0" fontId="14" fillId="0" borderId="39" xfId="2" applyFont="1" applyFill="1" applyBorder="1"/>
    <xf numFmtId="0" fontId="32" fillId="0" borderId="38" xfId="0" applyFont="1" applyBorder="1" applyAlignment="1">
      <protection locked="0"/>
    </xf>
    <xf numFmtId="0" fontId="33" fillId="0" borderId="40" xfId="0" applyFont="1" applyBorder="1" applyAlignment="1">
      <protection locked="0"/>
    </xf>
    <xf numFmtId="0" fontId="7" fillId="0" borderId="41" xfId="0" applyFont="1" applyBorder="1" applyAlignment="1">
      <protection locked="0"/>
    </xf>
    <xf numFmtId="0" fontId="14" fillId="0" borderId="42" xfId="2" applyFont="1" applyFill="1" applyBorder="1"/>
    <xf numFmtId="0" fontId="34" fillId="0" borderId="85" xfId="0" applyFont="1" applyBorder="1" applyAlignment="1">
      <alignment horizontal="center" vertical="center" wrapText="1"/>
      <protection locked="0"/>
    </xf>
    <xf numFmtId="0" fontId="34" fillId="0" borderId="43" xfId="0" applyFont="1" applyBorder="1" applyAlignment="1">
      <alignment horizontal="center" vertical="center" wrapText="1"/>
      <protection locked="0"/>
    </xf>
    <xf numFmtId="0" fontId="34" fillId="0" borderId="50" xfId="0" applyFont="1" applyBorder="1" applyAlignment="1">
      <alignment horizontal="center" vertical="center" wrapText="1"/>
      <protection locked="0"/>
    </xf>
    <xf numFmtId="3" fontId="4" fillId="21" borderId="87" xfId="0" applyNumberFormat="1" applyFont="1" applyFill="1" applyBorder="1" applyAlignment="1">
      <alignment horizontal="right" vertical="center"/>
      <protection locked="0"/>
    </xf>
    <xf numFmtId="9" fontId="4" fillId="17" borderId="87" xfId="4" applyFont="1" applyFill="1" applyBorder="1"/>
    <xf numFmtId="9" fontId="4" fillId="17" borderId="76" xfId="4" applyFont="1" applyFill="1" applyBorder="1"/>
    <xf numFmtId="9" fontId="4" fillId="17" borderId="46" xfId="4" applyFont="1" applyFill="1" applyBorder="1"/>
    <xf numFmtId="9" fontId="4" fillId="17" borderId="59" xfId="4" applyFont="1" applyFill="1" applyBorder="1"/>
    <xf numFmtId="3" fontId="41" fillId="0" borderId="0" xfId="34" applyNumberFormat="1" applyFont="1" applyFill="1" applyBorder="1" applyAlignment="1" applyProtection="1">
      <alignment horizontal="right" vertical="center"/>
      <protection locked="0"/>
    </xf>
    <xf numFmtId="3" fontId="46" fillId="0" borderId="0" xfId="34" applyNumberFormat="1" applyFont="1" applyFill="1" applyBorder="1" applyAlignment="1" applyProtection="1">
      <alignment horizontal="right" vertical="center"/>
      <protection locked="0"/>
    </xf>
    <xf numFmtId="3" fontId="47" fillId="21" borderId="86" xfId="0" applyNumberFormat="1" applyFont="1" applyFill="1" applyBorder="1" applyAlignment="1">
      <alignment horizontal="right" vertical="center"/>
      <protection locked="0"/>
    </xf>
    <xf numFmtId="9" fontId="4" fillId="17" borderId="86" xfId="4" applyFont="1" applyFill="1" applyBorder="1"/>
    <xf numFmtId="9" fontId="4" fillId="17" borderId="74" xfId="4" applyFont="1" applyFill="1" applyBorder="1"/>
    <xf numFmtId="9" fontId="4" fillId="17" borderId="58" xfId="4" applyFont="1" applyFill="1" applyBorder="1"/>
    <xf numFmtId="0" fontId="38" fillId="0" borderId="0" xfId="35" applyFont="1" applyFill="1" applyBorder="1" applyAlignment="1">
      <alignment horizontal="center" vertical="center" wrapText="1"/>
      <protection locked="0"/>
    </xf>
    <xf numFmtId="3" fontId="40" fillId="0" borderId="0" xfId="35" applyNumberFormat="1" applyFont="1" applyFill="1" applyBorder="1" applyAlignment="1">
      <alignment horizontal="right" vertical="center"/>
      <protection locked="0"/>
    </xf>
    <xf numFmtId="3" fontId="41" fillId="0" borderId="0" xfId="35" applyNumberFormat="1" applyFont="1" applyFill="1" applyBorder="1" applyAlignment="1">
      <alignment horizontal="right" vertical="center"/>
      <protection locked="0"/>
    </xf>
    <xf numFmtId="3" fontId="45" fillId="0" borderId="0" xfId="34" applyNumberFormat="1" applyFont="1" applyFill="1" applyBorder="1" applyAlignment="1" applyProtection="1">
      <alignment horizontal="right" vertical="center"/>
      <protection locked="0"/>
    </xf>
    <xf numFmtId="3" fontId="40" fillId="0" borderId="0" xfId="34" applyNumberFormat="1" applyFont="1" applyFill="1" applyBorder="1" applyAlignment="1" applyProtection="1">
      <alignment horizontal="right" vertical="center"/>
      <protection locked="0"/>
    </xf>
    <xf numFmtId="1" fontId="4" fillId="0" borderId="0" xfId="35" applyNumberFormat="1" applyFont="1" applyFill="1" applyBorder="1" applyAlignment="1">
      <alignment vertical="center"/>
      <protection locked="0"/>
    </xf>
    <xf numFmtId="3" fontId="47" fillId="21" borderId="89" xfId="0" applyNumberFormat="1" applyFont="1" applyFill="1" applyBorder="1" applyAlignment="1">
      <alignment horizontal="right" vertical="center"/>
      <protection locked="0"/>
    </xf>
    <xf numFmtId="9" fontId="4" fillId="17" borderId="89" xfId="4" applyFont="1" applyFill="1" applyBorder="1"/>
    <xf numFmtId="9" fontId="4" fillId="17" borderId="90" xfId="4" applyFont="1" applyFill="1" applyBorder="1"/>
    <xf numFmtId="9" fontId="4" fillId="17" borderId="92" xfId="4" applyFont="1" applyFill="1" applyBorder="1"/>
    <xf numFmtId="0" fontId="38" fillId="0" borderId="25" xfId="0" applyFont="1" applyBorder="1" applyAlignment="1">
      <alignment horizontal="center" vertical="center" wrapText="1"/>
      <protection locked="0"/>
    </xf>
    <xf numFmtId="3" fontId="38" fillId="21" borderId="94" xfId="0" applyNumberFormat="1" applyFont="1" applyFill="1" applyBorder="1" applyAlignment="1">
      <alignment horizontal="right" vertical="center"/>
      <protection locked="0"/>
    </xf>
    <xf numFmtId="9" fontId="34" fillId="17" borderId="94" xfId="4" applyFont="1" applyFill="1" applyBorder="1"/>
    <xf numFmtId="9" fontId="34" fillId="17" borderId="95" xfId="4" applyFont="1" applyFill="1" applyBorder="1"/>
    <xf numFmtId="9" fontId="34" fillId="17" borderId="97" xfId="4" applyFont="1" applyFill="1" applyBorder="1"/>
    <xf numFmtId="0" fontId="4" fillId="3" borderId="20" xfId="0" applyFont="1" applyFill="1" applyBorder="1" applyAlignment="1">
      <alignment vertical="center"/>
      <protection locked="0"/>
    </xf>
    <xf numFmtId="0" fontId="4" fillId="21" borderId="89" xfId="0" applyFont="1" applyFill="1" applyBorder="1" applyAlignment="1">
      <alignment horizontal="left" vertical="center"/>
      <protection locked="0"/>
    </xf>
    <xf numFmtId="0" fontId="4" fillId="21" borderId="89" xfId="0" applyFont="1" applyFill="1" applyBorder="1" applyAlignment="1">
      <alignment vertical="center"/>
      <protection locked="0"/>
    </xf>
    <xf numFmtId="0" fontId="4" fillId="16" borderId="89" xfId="0" applyFont="1" applyFill="1" applyBorder="1" applyAlignment="1">
      <alignment vertical="center"/>
      <protection locked="0"/>
    </xf>
    <xf numFmtId="0" fontId="4" fillId="16" borderId="90" xfId="0" applyFont="1" applyFill="1" applyBorder="1" applyAlignment="1">
      <alignment vertical="center"/>
      <protection locked="0"/>
    </xf>
    <xf numFmtId="0" fontId="4" fillId="16" borderId="92" xfId="0" applyFont="1" applyFill="1" applyBorder="1" applyAlignment="1">
      <alignment vertical="center"/>
      <protection locked="0"/>
    </xf>
    <xf numFmtId="3" fontId="4" fillId="21" borderId="86" xfId="0" applyNumberFormat="1" applyFont="1" applyFill="1" applyBorder="1" applyAlignment="1">
      <alignment horizontal="right" vertical="center"/>
      <protection locked="0"/>
    </xf>
    <xf numFmtId="0" fontId="34" fillId="0" borderId="49" xfId="0" applyFont="1" applyBorder="1" applyAlignment="1">
      <alignment horizontal="center" vertical="center" wrapText="1"/>
      <protection locked="0"/>
    </xf>
    <xf numFmtId="0" fontId="34" fillId="0" borderId="27" xfId="0" applyFont="1" applyBorder="1" applyAlignment="1">
      <alignment horizontal="center" vertical="center" wrapText="1"/>
      <protection locked="0"/>
    </xf>
    <xf numFmtId="0" fontId="34" fillId="3" borderId="50" xfId="0" applyFont="1" applyFill="1" applyBorder="1" applyAlignment="1">
      <alignment vertical="center"/>
      <protection locked="0"/>
    </xf>
    <xf numFmtId="3" fontId="39" fillId="23" borderId="51" xfId="35" applyNumberFormat="1" applyFont="1" applyFill="1" applyBorder="1" applyAlignment="1">
      <alignment horizontal="right" vertical="center"/>
      <protection locked="0"/>
    </xf>
    <xf numFmtId="3" fontId="39" fillId="23" borderId="44" xfId="35" applyNumberFormat="1" applyFont="1" applyFill="1" applyBorder="1" applyAlignment="1">
      <alignment horizontal="right" vertical="center"/>
      <protection locked="0"/>
    </xf>
    <xf numFmtId="3" fontId="39" fillId="23" borderId="52" xfId="35" applyNumberFormat="1" applyFont="1" applyFill="1" applyBorder="1" applyAlignment="1">
      <alignment horizontal="right" vertical="center"/>
      <protection locked="0"/>
    </xf>
    <xf numFmtId="0" fontId="4" fillId="24" borderId="66" xfId="35" applyFont="1" applyFill="1" applyBorder="1" applyAlignment="1">
      <alignment vertical="center"/>
      <protection locked="0"/>
    </xf>
    <xf numFmtId="3" fontId="39" fillId="23" borderId="67" xfId="35" applyNumberFormat="1" applyFont="1" applyFill="1" applyBorder="1" applyAlignment="1">
      <alignment horizontal="right" vertical="center"/>
      <protection locked="0"/>
    </xf>
    <xf numFmtId="3" fontId="39" fillId="23" borderId="68" xfId="35" applyNumberFormat="1" applyFont="1" applyFill="1" applyBorder="1" applyAlignment="1">
      <alignment horizontal="right" vertical="center"/>
      <protection locked="0"/>
    </xf>
    <xf numFmtId="3" fontId="39" fillId="23" borderId="69" xfId="35" applyNumberFormat="1" applyFont="1" applyFill="1" applyBorder="1" applyAlignment="1">
      <alignment horizontal="right" vertical="center"/>
      <protection locked="0"/>
    </xf>
    <xf numFmtId="3" fontId="39" fillId="24" borderId="67" xfId="35" applyNumberFormat="1" applyFont="1" applyFill="1" applyBorder="1" applyAlignment="1">
      <alignment horizontal="right" vertical="center"/>
      <protection locked="0"/>
    </xf>
    <xf numFmtId="3" fontId="39" fillId="24" borderId="68" xfId="35" applyNumberFormat="1" applyFont="1" applyFill="1" applyBorder="1" applyAlignment="1">
      <alignment horizontal="right" vertical="center"/>
      <protection locked="0"/>
    </xf>
    <xf numFmtId="3" fontId="39" fillId="24" borderId="69" xfId="35" applyNumberFormat="1" applyFont="1" applyFill="1" applyBorder="1" applyAlignment="1">
      <alignment horizontal="right" vertical="center"/>
      <protection locked="0"/>
    </xf>
    <xf numFmtId="0" fontId="4" fillId="24" borderId="23" xfId="35" applyFont="1" applyFill="1" applyBorder="1" applyAlignment="1">
      <alignment vertical="center"/>
      <protection locked="0"/>
    </xf>
    <xf numFmtId="0" fontId="4" fillId="24" borderId="80" xfId="35" applyFont="1" applyFill="1" applyBorder="1" applyAlignment="1">
      <alignment vertical="center"/>
      <protection locked="0"/>
    </xf>
    <xf numFmtId="3" fontId="39" fillId="23" borderId="56" xfId="35" applyNumberFormat="1" applyFont="1" applyFill="1" applyBorder="1" applyAlignment="1">
      <alignment horizontal="right" vertical="center"/>
      <protection locked="0"/>
    </xf>
    <xf numFmtId="3" fontId="39" fillId="23" borderId="47" xfId="35" applyNumberFormat="1" applyFont="1" applyFill="1" applyBorder="1" applyAlignment="1">
      <alignment horizontal="right" vertical="center"/>
      <protection locked="0"/>
    </xf>
    <xf numFmtId="3" fontId="39" fillId="23" borderId="57" xfId="35" applyNumberFormat="1" applyFont="1" applyFill="1" applyBorder="1" applyAlignment="1">
      <alignment horizontal="right" vertical="center"/>
      <protection locked="0"/>
    </xf>
    <xf numFmtId="0" fontId="50" fillId="0" borderId="38" xfId="0" applyFont="1" applyBorder="1" applyAlignment="1">
      <protection locked="0"/>
    </xf>
    <xf numFmtId="0" fontId="50" fillId="0" borderId="38" xfId="35" applyFont="1" applyBorder="1" applyAlignment="1">
      <protection locked="0"/>
    </xf>
    <xf numFmtId="0" fontId="50" fillId="0" borderId="36" xfId="35" applyFont="1" applyBorder="1" applyAlignment="1">
      <protection locked="0"/>
    </xf>
    <xf numFmtId="9" fontId="4" fillId="22" borderId="0" xfId="4" applyFont="1" applyFill="1" applyBorder="1"/>
    <xf numFmtId="3" fontId="4" fillId="25" borderId="0" xfId="0" applyNumberFormat="1" applyFont="1" applyFill="1" applyBorder="1" applyAlignment="1">
      <alignment horizontal="right" vertical="center"/>
      <protection locked="0"/>
    </xf>
    <xf numFmtId="0" fontId="34" fillId="25" borderId="50" xfId="0" applyFont="1" applyFill="1" applyBorder="1" applyAlignment="1">
      <alignment vertical="center"/>
      <protection locked="0"/>
    </xf>
    <xf numFmtId="0" fontId="4" fillId="25" borderId="20" xfId="0" applyFont="1" applyFill="1" applyBorder="1" applyAlignment="1">
      <alignment vertical="center"/>
      <protection locked="0"/>
    </xf>
    <xf numFmtId="3" fontId="4" fillId="25" borderId="56" xfId="0" applyNumberFormat="1" applyFont="1" applyFill="1" applyBorder="1" applyAlignment="1">
      <alignment horizontal="right" vertical="center"/>
      <protection locked="0"/>
    </xf>
    <xf numFmtId="3" fontId="4" fillId="25" borderId="47" xfId="0" applyNumberFormat="1" applyFont="1" applyFill="1" applyBorder="1" applyAlignment="1">
      <alignment horizontal="right" vertical="center"/>
      <protection locked="0"/>
    </xf>
    <xf numFmtId="3" fontId="4" fillId="25" borderId="57" xfId="0" applyNumberFormat="1" applyFont="1" applyFill="1" applyBorder="1" applyAlignment="1">
      <alignment horizontal="right" vertical="center"/>
      <protection locked="0"/>
    </xf>
    <xf numFmtId="3" fontId="47" fillId="25" borderId="51" xfId="0" applyNumberFormat="1" applyFont="1" applyFill="1" applyBorder="1" applyAlignment="1">
      <alignment horizontal="right" vertical="center"/>
      <protection locked="0"/>
    </xf>
    <xf numFmtId="3" fontId="47" fillId="25" borderId="44" xfId="0" applyNumberFormat="1" applyFont="1" applyFill="1" applyBorder="1" applyAlignment="1">
      <alignment horizontal="right" vertical="center"/>
      <protection locked="0"/>
    </xf>
    <xf numFmtId="3" fontId="47" fillId="25" borderId="20" xfId="0" applyNumberFormat="1" applyFont="1" applyFill="1" applyBorder="1" applyAlignment="1">
      <alignment horizontal="right" vertical="center"/>
      <protection locked="0"/>
    </xf>
    <xf numFmtId="3" fontId="38" fillId="25" borderId="93" xfId="0" applyNumberFormat="1" applyFont="1" applyFill="1" applyBorder="1" applyAlignment="1">
      <alignment horizontal="right" vertical="center"/>
      <protection locked="0"/>
    </xf>
    <xf numFmtId="0" fontId="4" fillId="25" borderId="91" xfId="0" applyFont="1" applyFill="1" applyBorder="1" applyAlignment="1">
      <alignment vertical="center"/>
      <protection locked="0"/>
    </xf>
    <xf numFmtId="3" fontId="4" fillId="25" borderId="67" xfId="0" applyNumberFormat="1" applyFont="1" applyFill="1" applyBorder="1" applyAlignment="1">
      <alignment horizontal="right" vertical="center"/>
      <protection locked="0"/>
    </xf>
    <xf numFmtId="3" fontId="4" fillId="25" borderId="68" xfId="0" applyNumberFormat="1" applyFont="1" applyFill="1" applyBorder="1" applyAlignment="1">
      <alignment horizontal="right" vertical="center"/>
      <protection locked="0"/>
    </xf>
    <xf numFmtId="3" fontId="4" fillId="25" borderId="69" xfId="0" applyNumberFormat="1" applyFont="1" applyFill="1" applyBorder="1" applyAlignment="1">
      <alignment horizontal="right" vertical="center"/>
      <protection locked="0"/>
    </xf>
    <xf numFmtId="3" fontId="47" fillId="25" borderId="67" xfId="0" applyNumberFormat="1" applyFont="1" applyFill="1" applyBorder="1" applyAlignment="1">
      <alignment horizontal="right" vertical="center"/>
      <protection locked="0"/>
    </xf>
    <xf numFmtId="3" fontId="47" fillId="25" borderId="68" xfId="0" applyNumberFormat="1" applyFont="1" applyFill="1" applyBorder="1" applyAlignment="1">
      <alignment horizontal="right" vertical="center"/>
      <protection locked="0"/>
    </xf>
    <xf numFmtId="3" fontId="47" fillId="25" borderId="91" xfId="0" applyNumberFormat="1" applyFont="1" applyFill="1" applyBorder="1" applyAlignment="1">
      <alignment horizontal="right" vertical="center"/>
      <protection locked="0"/>
    </xf>
    <xf numFmtId="3" fontId="38" fillId="25" borderId="96" xfId="0" applyNumberFormat="1" applyFont="1" applyFill="1" applyBorder="1" applyAlignment="1">
      <alignment horizontal="right" vertical="center"/>
      <protection locked="0"/>
    </xf>
    <xf numFmtId="9" fontId="4" fillId="17" borderId="54" xfId="4" applyFont="1" applyFill="1" applyBorder="1"/>
    <xf numFmtId="9" fontId="4" fillId="17" borderId="45" xfId="4" applyFont="1" applyFill="1" applyBorder="1"/>
    <xf numFmtId="9" fontId="4" fillId="17" borderId="55" xfId="4" applyFont="1" applyFill="1" applyBorder="1"/>
    <xf numFmtId="9" fontId="4" fillId="17" borderId="16" xfId="4" applyFont="1" applyFill="1" applyBorder="1"/>
    <xf numFmtId="9" fontId="34" fillId="17" borderId="99" xfId="4" applyFont="1" applyFill="1" applyBorder="1"/>
    <xf numFmtId="0" fontId="54" fillId="0" borderId="0" xfId="2" applyFont="1"/>
    <xf numFmtId="3" fontId="58" fillId="23" borderId="24" xfId="35" applyNumberFormat="1" applyFont="1" applyFill="1" applyBorder="1" applyAlignment="1">
      <alignment horizontal="right" vertical="center"/>
      <protection locked="0"/>
    </xf>
    <xf numFmtId="9" fontId="57" fillId="23" borderId="26" xfId="35" applyNumberFormat="1" applyFont="1" applyFill="1" applyBorder="1" applyAlignment="1">
      <alignment horizontal="right" vertical="center"/>
      <protection locked="0"/>
    </xf>
    <xf numFmtId="9" fontId="57" fillId="23" borderId="23" xfId="35" applyNumberFormat="1" applyFont="1" applyFill="1" applyBorder="1" applyAlignment="1">
      <alignment horizontal="right" vertical="center"/>
      <protection locked="0"/>
    </xf>
    <xf numFmtId="3" fontId="59" fillId="19" borderId="29" xfId="34" applyNumberFormat="1" applyFont="1" applyFill="1" applyBorder="1" applyAlignment="1" applyProtection="1">
      <alignment horizontal="right" vertical="center"/>
      <protection locked="0"/>
    </xf>
    <xf numFmtId="9" fontId="59" fillId="19" borderId="28" xfId="33" applyFont="1" applyFill="1" applyBorder="1" applyAlignment="1" applyProtection="1">
      <alignment horizontal="right" vertical="center"/>
      <protection locked="0"/>
    </xf>
    <xf numFmtId="3" fontId="59" fillId="18" borderId="29" xfId="34" applyNumberFormat="1" applyFont="1" applyFill="1" applyBorder="1" applyAlignment="1" applyProtection="1">
      <alignment horizontal="right" vertical="center"/>
      <protection locked="0"/>
    </xf>
    <xf numFmtId="9" fontId="59" fillId="18" borderId="28" xfId="33" applyFont="1" applyFill="1" applyBorder="1" applyAlignment="1" applyProtection="1">
      <alignment horizontal="right" vertical="center"/>
      <protection locked="0"/>
    </xf>
    <xf numFmtId="0" fontId="56" fillId="0" borderId="61" xfId="35" applyFont="1" applyBorder="1" applyAlignment="1">
      <alignment horizontal="center" vertical="center" wrapText="1"/>
      <protection locked="0"/>
    </xf>
    <xf numFmtId="3" fontId="58" fillId="23" borderId="70" xfId="35" applyNumberFormat="1" applyFont="1" applyFill="1" applyBorder="1" applyAlignment="1">
      <alignment horizontal="right" vertical="center"/>
      <protection locked="0"/>
    </xf>
    <xf numFmtId="9" fontId="57" fillId="23" borderId="71" xfId="35" applyNumberFormat="1" applyFont="1" applyFill="1" applyBorder="1" applyAlignment="1">
      <alignment horizontal="right" vertical="center"/>
      <protection locked="0"/>
    </xf>
    <xf numFmtId="9" fontId="57" fillId="23" borderId="66" xfId="35" applyNumberFormat="1" applyFont="1" applyFill="1" applyBorder="1" applyAlignment="1">
      <alignment horizontal="right" vertical="center"/>
      <protection locked="0"/>
    </xf>
    <xf numFmtId="3" fontId="58" fillId="24" borderId="70" xfId="35" applyNumberFormat="1" applyFont="1" applyFill="1" applyBorder="1" applyAlignment="1">
      <alignment horizontal="right" vertical="center"/>
      <protection locked="0"/>
    </xf>
    <xf numFmtId="9" fontId="57" fillId="24" borderId="71" xfId="35" applyNumberFormat="1" applyFont="1" applyFill="1" applyBorder="1" applyAlignment="1">
      <alignment horizontal="right" vertical="center"/>
      <protection locked="0"/>
    </xf>
    <xf numFmtId="9" fontId="57" fillId="24" borderId="66" xfId="35" applyNumberFormat="1" applyFont="1" applyFill="1" applyBorder="1" applyAlignment="1">
      <alignment horizontal="right" vertical="center"/>
      <protection locked="0"/>
    </xf>
    <xf numFmtId="3" fontId="58" fillId="23" borderId="82" xfId="35" applyNumberFormat="1" applyFont="1" applyFill="1" applyBorder="1" applyAlignment="1">
      <alignment horizontal="right" vertical="center"/>
      <protection locked="0"/>
    </xf>
    <xf numFmtId="9" fontId="57" fillId="23" borderId="83" xfId="35" applyNumberFormat="1" applyFont="1" applyFill="1" applyBorder="1" applyAlignment="1">
      <alignment horizontal="right" vertical="center"/>
      <protection locked="0"/>
    </xf>
    <xf numFmtId="9" fontId="57" fillId="23" borderId="80" xfId="35" applyNumberFormat="1" applyFont="1" applyFill="1" applyBorder="1" applyAlignment="1">
      <alignment horizontal="right" vertical="center"/>
      <protection locked="0"/>
    </xf>
    <xf numFmtId="0" fontId="35" fillId="0" borderId="77" xfId="35" applyFont="1" applyBorder="1" applyAlignment="1">
      <alignment horizontal="center" vertical="center" wrapText="1"/>
      <protection locked="0"/>
    </xf>
    <xf numFmtId="0" fontId="35" fillId="0" borderId="63" xfId="35" applyFont="1" applyBorder="1" applyAlignment="1">
      <alignment horizontal="center" vertical="center" wrapText="1"/>
      <protection locked="0"/>
    </xf>
    <xf numFmtId="0" fontId="35" fillId="0" borderId="64" xfId="35" applyFont="1" applyBorder="1" applyAlignment="1">
      <alignment horizontal="center" vertical="center" wrapText="1"/>
      <protection locked="0"/>
    </xf>
    <xf numFmtId="3" fontId="55" fillId="23" borderId="78" xfId="35" applyNumberFormat="1" applyFont="1" applyFill="1" applyBorder="1" applyAlignment="1">
      <alignment horizontal="right" vertical="center"/>
      <protection locked="0"/>
    </xf>
    <xf numFmtId="3" fontId="55" fillId="23" borderId="68" xfId="35" applyNumberFormat="1" applyFont="1" applyFill="1" applyBorder="1" applyAlignment="1">
      <alignment horizontal="right" vertical="center"/>
      <protection locked="0"/>
    </xf>
    <xf numFmtId="3" fontId="55" fillId="23" borderId="69" xfId="35" applyNumberFormat="1" applyFont="1" applyFill="1" applyBorder="1" applyAlignment="1">
      <alignment horizontal="right" vertical="center"/>
      <protection locked="0"/>
    </xf>
    <xf numFmtId="3" fontId="55" fillId="24" borderId="78" xfId="35" applyNumberFormat="1" applyFont="1" applyFill="1" applyBorder="1" applyAlignment="1">
      <alignment horizontal="right" vertical="center"/>
      <protection locked="0"/>
    </xf>
    <xf numFmtId="3" fontId="55" fillId="24" borderId="68" xfId="35" applyNumberFormat="1" applyFont="1" applyFill="1" applyBorder="1" applyAlignment="1">
      <alignment horizontal="right" vertical="center"/>
      <protection locked="0"/>
    </xf>
    <xf numFmtId="3" fontId="55" fillId="24" borderId="69" xfId="35" applyNumberFormat="1" applyFont="1" applyFill="1" applyBorder="1" applyAlignment="1">
      <alignment horizontal="right" vertical="center"/>
      <protection locked="0"/>
    </xf>
    <xf numFmtId="3" fontId="55" fillId="19" borderId="48" xfId="34" applyNumberFormat="1" applyFont="1" applyFill="1" applyBorder="1" applyAlignment="1" applyProtection="1">
      <alignment horizontal="right" vertical="center"/>
      <protection locked="0"/>
    </xf>
    <xf numFmtId="3" fontId="55" fillId="19" borderId="43" xfId="34" applyNumberFormat="1" applyFont="1" applyFill="1" applyBorder="1" applyAlignment="1" applyProtection="1">
      <alignment horizontal="right" vertical="center"/>
      <protection locked="0"/>
    </xf>
    <xf numFmtId="3" fontId="55" fillId="19" borderId="50" xfId="34" applyNumberFormat="1" applyFont="1" applyFill="1" applyBorder="1" applyAlignment="1" applyProtection="1">
      <alignment horizontal="right" vertical="center"/>
      <protection locked="0"/>
    </xf>
    <xf numFmtId="3" fontId="55" fillId="23" borderId="22" xfId="35" applyNumberFormat="1" applyFont="1" applyFill="1" applyBorder="1" applyAlignment="1">
      <alignment horizontal="right" vertical="center"/>
      <protection locked="0"/>
    </xf>
    <xf numFmtId="3" fontId="55" fillId="23" borderId="44" xfId="35" applyNumberFormat="1" applyFont="1" applyFill="1" applyBorder="1" applyAlignment="1">
      <alignment horizontal="right" vertical="center"/>
      <protection locked="0"/>
    </xf>
    <xf numFmtId="3" fontId="55" fillId="23" borderId="52" xfId="35" applyNumberFormat="1" applyFont="1" applyFill="1" applyBorder="1" applyAlignment="1">
      <alignment horizontal="right" vertical="center"/>
      <protection locked="0"/>
    </xf>
    <xf numFmtId="3" fontId="55" fillId="18" borderId="48" xfId="34" applyNumberFormat="1" applyFont="1" applyFill="1" applyBorder="1" applyAlignment="1" applyProtection="1">
      <alignment horizontal="right" vertical="center"/>
      <protection locked="0"/>
    </xf>
    <xf numFmtId="3" fontId="55" fillId="18" borderId="43" xfId="34" applyNumberFormat="1" applyFont="1" applyFill="1" applyBorder="1" applyAlignment="1" applyProtection="1">
      <alignment horizontal="right" vertical="center"/>
      <protection locked="0"/>
    </xf>
    <xf numFmtId="3" fontId="55" fillId="18" borderId="50" xfId="34" applyNumberFormat="1" applyFont="1" applyFill="1" applyBorder="1" applyAlignment="1" applyProtection="1">
      <alignment horizontal="right" vertical="center"/>
      <protection locked="0"/>
    </xf>
    <xf numFmtId="3" fontId="55" fillId="23" borderId="81" xfId="35" applyNumberFormat="1" applyFont="1" applyFill="1" applyBorder="1" applyAlignment="1">
      <alignment horizontal="right" vertical="center"/>
      <protection locked="0"/>
    </xf>
    <xf numFmtId="3" fontId="55" fillId="23" borderId="47" xfId="35" applyNumberFormat="1" applyFont="1" applyFill="1" applyBorder="1" applyAlignment="1">
      <alignment horizontal="right" vertical="center"/>
      <protection locked="0"/>
    </xf>
    <xf numFmtId="3" fontId="55" fillId="23" borderId="57" xfId="35" applyNumberFormat="1" applyFont="1" applyFill="1" applyBorder="1" applyAlignment="1">
      <alignment horizontal="right" vertical="center"/>
      <protection locked="0"/>
    </xf>
    <xf numFmtId="0" fontId="35" fillId="0" borderId="49" xfId="0" applyFont="1" applyBorder="1" applyAlignment="1">
      <alignment horizontal="center" vertical="center" wrapText="1"/>
      <protection locked="0"/>
    </xf>
    <xf numFmtId="0" fontId="35" fillId="0" borderId="43" xfId="0" applyFont="1" applyBorder="1" applyAlignment="1">
      <alignment horizontal="center" vertical="center" wrapText="1"/>
      <protection locked="0"/>
    </xf>
    <xf numFmtId="0" fontId="35" fillId="0" borderId="88" xfId="0" applyFont="1" applyBorder="1" applyAlignment="1">
      <alignment horizontal="center" vertical="center" wrapText="1"/>
      <protection locked="0"/>
    </xf>
    <xf numFmtId="0" fontId="52" fillId="20" borderId="0" xfId="31" applyFont="1" applyFill="1">
      <protection locked="0"/>
    </xf>
    <xf numFmtId="0" fontId="32" fillId="6" borderId="0" xfId="31" applyFont="1" applyFill="1">
      <protection locked="0"/>
    </xf>
    <xf numFmtId="0" fontId="3" fillId="6" borderId="0" xfId="31" applyFont="1" applyFill="1">
      <protection locked="0"/>
    </xf>
    <xf numFmtId="0" fontId="60" fillId="20" borderId="0" xfId="32" applyNumberFormat="1" applyFont="1" applyFill="1" applyBorder="1" applyAlignment="1" applyProtection="1">
      <protection locked="0"/>
    </xf>
    <xf numFmtId="0" fontId="49" fillId="6" borderId="0" xfId="31" applyFont="1" applyFill="1">
      <protection locked="0"/>
    </xf>
    <xf numFmtId="11" fontId="60" fillId="20" borderId="0" xfId="32" applyNumberFormat="1" applyFont="1" applyFill="1" applyBorder="1" applyAlignment="1" applyProtection="1">
      <protection locked="0"/>
    </xf>
    <xf numFmtId="0" fontId="49" fillId="20" borderId="0" xfId="31" applyFont="1" applyFill="1">
      <protection locked="0"/>
    </xf>
    <xf numFmtId="0" fontId="3" fillId="20" borderId="0" xfId="31" applyFont="1" applyFill="1">
      <protection locked="0"/>
    </xf>
    <xf numFmtId="0" fontId="5" fillId="6" borderId="0" xfId="31" applyFont="1" applyFill="1">
      <protection locked="0"/>
    </xf>
    <xf numFmtId="0" fontId="2" fillId="6" borderId="0" xfId="31" applyFont="1" applyFill="1">
      <protection locked="0"/>
    </xf>
    <xf numFmtId="17" fontId="32" fillId="6" borderId="0" xfId="31" applyNumberFormat="1" applyFont="1" applyFill="1">
      <protection locked="0"/>
    </xf>
    <xf numFmtId="0" fontId="51" fillId="6" borderId="0" xfId="31" applyFont="1" applyFill="1">
      <protection locked="0"/>
    </xf>
    <xf numFmtId="0" fontId="32" fillId="6" borderId="0" xfId="31" applyFont="1" applyFill="1" applyAlignment="1">
      <alignment wrapText="1"/>
      <protection locked="0"/>
    </xf>
    <xf numFmtId="0" fontId="33" fillId="6" borderId="0" xfId="31" applyFont="1" applyFill="1" applyAlignment="1">
      <alignment wrapText="1"/>
      <protection locked="0"/>
    </xf>
    <xf numFmtId="3" fontId="39" fillId="26" borderId="53" xfId="35" applyNumberFormat="1" applyFont="1" applyFill="1" applyBorder="1" applyAlignment="1">
      <alignment horizontal="right" vertical="center"/>
      <protection locked="0"/>
    </xf>
    <xf numFmtId="3" fontId="4" fillId="3" borderId="101" xfId="0" applyNumberFormat="1" applyFont="1" applyFill="1" applyBorder="1" applyAlignment="1">
      <alignment horizontal="right" vertical="center"/>
      <protection locked="0"/>
    </xf>
    <xf numFmtId="3" fontId="4" fillId="3" borderId="100" xfId="0" applyNumberFormat="1" applyFont="1" applyFill="1" applyBorder="1" applyAlignment="1">
      <alignment horizontal="right" vertical="center"/>
      <protection locked="0"/>
    </xf>
    <xf numFmtId="3" fontId="4" fillId="3" borderId="102" xfId="0" applyNumberFormat="1" applyFont="1" applyFill="1" applyBorder="1" applyAlignment="1">
      <alignment horizontal="right" vertical="center"/>
      <protection locked="0"/>
    </xf>
    <xf numFmtId="3" fontId="33" fillId="0" borderId="103" xfId="31" applyNumberFormat="1" applyFont="1" applyBorder="1">
      <protection locked="0"/>
    </xf>
    <xf numFmtId="3" fontId="32" fillId="4" borderId="103" xfId="31" applyNumberFormat="1" applyFont="1" applyFill="1" applyBorder="1">
      <protection locked="0"/>
    </xf>
    <xf numFmtId="3" fontId="33" fillId="18" borderId="103" xfId="31" applyNumberFormat="1" applyFont="1" applyFill="1" applyBorder="1">
      <protection locked="0"/>
    </xf>
    <xf numFmtId="3" fontId="32" fillId="18" borderId="103" xfId="31" applyNumberFormat="1" applyFont="1" applyFill="1" applyBorder="1">
      <protection locked="0"/>
    </xf>
    <xf numFmtId="3" fontId="39" fillId="26" borderId="58" xfId="35" applyNumberFormat="1" applyFont="1" applyFill="1" applyBorder="1" applyAlignment="1">
      <alignment horizontal="right" vertical="center"/>
      <protection locked="0"/>
    </xf>
    <xf numFmtId="3" fontId="4" fillId="3" borderId="41" xfId="0" applyNumberFormat="1" applyFont="1" applyFill="1" applyBorder="1" applyAlignment="1">
      <alignment horizontal="right" vertical="center"/>
      <protection locked="0"/>
    </xf>
    <xf numFmtId="3" fontId="4" fillId="3" borderId="104" xfId="0" applyNumberFormat="1" applyFont="1" applyFill="1" applyBorder="1" applyAlignment="1">
      <alignment horizontal="right" vertical="center"/>
      <protection locked="0"/>
    </xf>
    <xf numFmtId="3" fontId="4" fillId="3" borderId="105" xfId="0" applyNumberFormat="1" applyFont="1" applyFill="1" applyBorder="1" applyAlignment="1">
      <alignment horizontal="right" vertical="center"/>
      <protection locked="0"/>
    </xf>
    <xf numFmtId="3" fontId="4" fillId="3" borderId="106" xfId="0" applyNumberFormat="1" applyFont="1" applyFill="1" applyBorder="1" applyAlignment="1">
      <alignment horizontal="right" vertical="center"/>
      <protection locked="0"/>
    </xf>
    <xf numFmtId="3" fontId="4" fillId="3" borderId="108" xfId="0" applyNumberFormat="1" applyFont="1" applyFill="1" applyBorder="1" applyAlignment="1">
      <alignment horizontal="right" vertical="center"/>
      <protection locked="0"/>
    </xf>
    <xf numFmtId="3" fontId="4" fillId="3" borderId="109" xfId="0" applyNumberFormat="1" applyFont="1" applyFill="1" applyBorder="1" applyAlignment="1">
      <alignment horizontal="right" vertical="center"/>
      <protection locked="0"/>
    </xf>
    <xf numFmtId="3" fontId="4" fillId="3" borderId="98" xfId="0" applyNumberFormat="1" applyFont="1" applyFill="1" applyBorder="1" applyAlignment="1">
      <alignment horizontal="right" vertical="center"/>
      <protection locked="0"/>
    </xf>
    <xf numFmtId="3" fontId="4" fillId="3" borderId="107" xfId="0" applyNumberFormat="1" applyFont="1" applyFill="1" applyBorder="1" applyAlignment="1">
      <alignment horizontal="right" vertical="center"/>
      <protection locked="0"/>
    </xf>
    <xf numFmtId="9" fontId="4" fillId="27" borderId="86" xfId="4" applyFont="1" applyFill="1" applyBorder="1"/>
    <xf numFmtId="9" fontId="4" fillId="27" borderId="84" xfId="4" applyFont="1" applyFill="1" applyBorder="1"/>
    <xf numFmtId="9" fontId="4" fillId="27" borderId="87" xfId="4" applyFont="1" applyFill="1" applyBorder="1"/>
    <xf numFmtId="9" fontId="4" fillId="27" borderId="89" xfId="4" applyFont="1" applyFill="1" applyBorder="1"/>
    <xf numFmtId="9" fontId="34" fillId="27" borderId="94" xfId="4" applyFont="1" applyFill="1" applyBorder="1"/>
    <xf numFmtId="9" fontId="4" fillId="27" borderId="54" xfId="4" applyFont="1" applyFill="1" applyBorder="1"/>
    <xf numFmtId="9" fontId="4" fillId="27" borderId="45" xfId="4" applyFont="1" applyFill="1" applyBorder="1"/>
    <xf numFmtId="9" fontId="4" fillId="27" borderId="55" xfId="4" applyFont="1" applyFill="1" applyBorder="1"/>
    <xf numFmtId="9" fontId="4" fillId="27" borderId="16" xfId="4" applyFont="1" applyFill="1" applyBorder="1"/>
    <xf numFmtId="9" fontId="34" fillId="27" borderId="99" xfId="4" applyFont="1" applyFill="1" applyBorder="1"/>
    <xf numFmtId="9" fontId="4" fillId="27" borderId="74" xfId="4" applyFont="1" applyFill="1" applyBorder="1"/>
    <xf numFmtId="9" fontId="4" fillId="27" borderId="75" xfId="4" applyFont="1" applyFill="1" applyBorder="1"/>
    <xf numFmtId="9" fontId="4" fillId="27" borderId="76" xfId="4" applyFont="1" applyFill="1" applyBorder="1"/>
    <xf numFmtId="9" fontId="4" fillId="27" borderId="90" xfId="4" applyFont="1" applyFill="1" applyBorder="1"/>
    <xf numFmtId="9" fontId="34" fillId="27" borderId="95" xfId="4" applyFont="1" applyFill="1" applyBorder="1"/>
    <xf numFmtId="3" fontId="4" fillId="3" borderId="56" xfId="0" applyNumberFormat="1" applyFont="1" applyFill="1" applyBorder="1" applyAlignment="1">
      <alignment horizontal="right" vertical="center"/>
      <protection locked="0"/>
    </xf>
    <xf numFmtId="3" fontId="4" fillId="3" borderId="47" xfId="0" applyNumberFormat="1" applyFont="1" applyFill="1" applyBorder="1" applyAlignment="1">
      <alignment horizontal="right" vertical="center"/>
      <protection locked="0"/>
    </xf>
    <xf numFmtId="3" fontId="4" fillId="3" borderId="57" xfId="0" applyNumberFormat="1" applyFont="1" applyFill="1" applyBorder="1" applyAlignment="1">
      <alignment horizontal="right" vertical="center"/>
      <protection locked="0"/>
    </xf>
    <xf numFmtId="3" fontId="32" fillId="18" borderId="103" xfId="34" applyNumberFormat="1" applyFont="1" applyFill="1" applyBorder="1" applyProtection="1">
      <protection locked="0"/>
    </xf>
    <xf numFmtId="0" fontId="63" fillId="0" borderId="0" xfId="2" applyFont="1" applyFill="1"/>
    <xf numFmtId="0" fontId="64" fillId="0" borderId="0" xfId="2" applyFont="1" applyFill="1" applyAlignment="1">
      <alignment vertical="center"/>
    </xf>
    <xf numFmtId="0" fontId="64" fillId="0" borderId="0" xfId="2" applyFont="1" applyFill="1"/>
    <xf numFmtId="0" fontId="65" fillId="0" borderId="0" xfId="2" applyFont="1" applyFill="1"/>
    <xf numFmtId="0" fontId="67" fillId="0" borderId="0" xfId="2" applyFont="1" applyFill="1"/>
    <xf numFmtId="0" fontId="68" fillId="0" borderId="0" xfId="2" applyFont="1" applyFill="1"/>
    <xf numFmtId="0" fontId="68" fillId="0" borderId="0" xfId="2" applyFont="1" applyFill="1" applyBorder="1"/>
    <xf numFmtId="0" fontId="69" fillId="0" borderId="113" xfId="2" applyFont="1" applyFill="1" applyBorder="1" applyAlignment="1">
      <alignment horizontal="center" vertical="center" wrapText="1"/>
    </xf>
    <xf numFmtId="0" fontId="70" fillId="29" borderId="114" xfId="2" applyFont="1" applyFill="1" applyBorder="1" applyAlignment="1">
      <alignment horizontal="center" vertical="center" wrapText="1"/>
    </xf>
    <xf numFmtId="0" fontId="70" fillId="29" borderId="115" xfId="2" applyFont="1" applyFill="1" applyBorder="1" applyAlignment="1">
      <alignment horizontal="center" vertical="center" wrapText="1"/>
    </xf>
    <xf numFmtId="0" fontId="70" fillId="29" borderId="116" xfId="2" applyFont="1" applyFill="1" applyBorder="1" applyAlignment="1">
      <alignment horizontal="center" vertical="center" wrapText="1"/>
    </xf>
    <xf numFmtId="0" fontId="71" fillId="0" borderId="0" xfId="2" applyFont="1" applyFill="1"/>
    <xf numFmtId="0" fontId="72" fillId="0" borderId="117" xfId="2" applyFont="1" applyFill="1" applyBorder="1"/>
    <xf numFmtId="2" fontId="73" fillId="0" borderId="117" xfId="2" applyNumberFormat="1" applyFont="1" applyFill="1" applyBorder="1" applyAlignment="1">
      <alignment horizontal="center" vertical="center" wrapText="1"/>
    </xf>
    <xf numFmtId="9" fontId="73" fillId="0" borderId="117" xfId="1" applyFont="1" applyFill="1" applyBorder="1" applyAlignment="1">
      <alignment horizontal="center" vertical="center" wrapText="1"/>
    </xf>
    <xf numFmtId="9" fontId="67" fillId="0" borderId="0" xfId="4" applyFont="1" applyFill="1" applyAlignment="1">
      <alignment horizontal="center"/>
    </xf>
    <xf numFmtId="0" fontId="67" fillId="0" borderId="0" xfId="2" applyFont="1" applyFill="1" applyAlignment="1">
      <alignment horizontal="center"/>
    </xf>
    <xf numFmtId="0" fontId="72" fillId="0" borderId="118" xfId="2" applyFont="1" applyFill="1" applyBorder="1"/>
    <xf numFmtId="2" fontId="73" fillId="0" borderId="118" xfId="2" applyNumberFormat="1" applyFont="1" applyFill="1" applyBorder="1" applyAlignment="1">
      <alignment horizontal="center" vertical="center" wrapText="1"/>
    </xf>
    <xf numFmtId="9" fontId="73" fillId="0" borderId="118" xfId="1" applyFont="1" applyFill="1" applyBorder="1" applyAlignment="1">
      <alignment horizontal="center" vertical="center" wrapText="1"/>
    </xf>
    <xf numFmtId="2" fontId="70" fillId="0" borderId="118" xfId="2" applyNumberFormat="1" applyFont="1" applyFill="1" applyBorder="1" applyAlignment="1">
      <alignment horizontal="center" vertical="center" wrapText="1"/>
    </xf>
    <xf numFmtId="4" fontId="74" fillId="0" borderId="0" xfId="31" applyNumberFormat="1" applyFont="1" applyProtection="1">
      <protection locked="0"/>
    </xf>
    <xf numFmtId="0" fontId="67" fillId="0" borderId="0" xfId="2" applyFont="1" applyFill="1" applyBorder="1" applyAlignment="1">
      <alignment horizontal="center"/>
    </xf>
    <xf numFmtId="0" fontId="67" fillId="0" borderId="0" xfId="2" applyFont="1" applyFill="1" applyBorder="1"/>
    <xf numFmtId="170" fontId="67" fillId="0" borderId="0" xfId="31" applyNumberFormat="1" applyFont="1" applyProtection="1">
      <protection locked="0"/>
    </xf>
    <xf numFmtId="0" fontId="72" fillId="0" borderId="119" xfId="2" applyFont="1" applyFill="1" applyBorder="1"/>
    <xf numFmtId="2" fontId="73" fillId="0" borderId="119" xfId="2" applyNumberFormat="1" applyFont="1" applyFill="1" applyBorder="1" applyAlignment="1">
      <alignment horizontal="center" vertical="center" wrapText="1"/>
    </xf>
    <xf numFmtId="0" fontId="75" fillId="0" borderId="0" xfId="2" applyFont="1" applyFill="1"/>
    <xf numFmtId="0" fontId="72" fillId="0" borderId="0" xfId="2" applyFont="1" applyFill="1" applyBorder="1"/>
    <xf numFmtId="9" fontId="62" fillId="0" borderId="0" xfId="2" applyNumberFormat="1" applyFont="1" applyFill="1"/>
    <xf numFmtId="0" fontId="62" fillId="0" borderId="0" xfId="2" applyFont="1" applyFill="1"/>
    <xf numFmtId="4" fontId="76" fillId="0" borderId="0" xfId="31" applyNumberFormat="1" applyFont="1" applyProtection="1">
      <protection locked="0"/>
    </xf>
    <xf numFmtId="0" fontId="72" fillId="0" borderId="0" xfId="2" applyFont="1" applyFill="1"/>
    <xf numFmtId="2" fontId="70" fillId="0" borderId="117" xfId="2" applyNumberFormat="1" applyFont="1" applyFill="1" applyBorder="1" applyAlignment="1">
      <alignment horizontal="center" vertical="center" wrapText="1"/>
    </xf>
    <xf numFmtId="9" fontId="70" fillId="0" borderId="117" xfId="1" applyFont="1" applyFill="1" applyBorder="1" applyAlignment="1">
      <alignment horizontal="right" vertical="center" wrapText="1"/>
    </xf>
    <xf numFmtId="9" fontId="62" fillId="0" borderId="0" xfId="4" applyFont="1" applyFill="1" applyAlignment="1">
      <alignment horizontal="left"/>
    </xf>
    <xf numFmtId="9" fontId="70" fillId="0" borderId="118" xfId="1" applyFont="1" applyFill="1" applyBorder="1" applyAlignment="1">
      <alignment horizontal="right" vertical="center" wrapText="1"/>
    </xf>
    <xf numFmtId="9" fontId="62" fillId="0" borderId="0" xfId="4" applyFont="1" applyFill="1"/>
    <xf numFmtId="170" fontId="62" fillId="0" borderId="0" xfId="2" applyNumberFormat="1" applyFont="1" applyFill="1"/>
    <xf numFmtId="2" fontId="70" fillId="0" borderId="119" xfId="2" applyNumberFormat="1" applyFont="1" applyFill="1" applyBorder="1" applyAlignment="1">
      <alignment horizontal="center" vertical="center" wrapText="1"/>
    </xf>
    <xf numFmtId="9" fontId="70" fillId="0" borderId="119" xfId="1" applyFont="1" applyFill="1" applyBorder="1" applyAlignment="1">
      <alignment horizontal="right" vertical="center" wrapText="1"/>
    </xf>
    <xf numFmtId="171" fontId="75" fillId="0" borderId="0" xfId="2" applyNumberFormat="1" applyFont="1" applyFill="1"/>
    <xf numFmtId="0" fontId="77" fillId="0" borderId="0" xfId="2" applyFont="1" applyFill="1" applyAlignment="1">
      <alignment horizontal="left" vertical="center"/>
    </xf>
    <xf numFmtId="0" fontId="78" fillId="0" borderId="0" xfId="2" applyFont="1" applyFill="1" applyAlignment="1"/>
    <xf numFmtId="0" fontId="79" fillId="0" borderId="0" xfId="2" applyFont="1" applyFill="1" applyAlignment="1"/>
    <xf numFmtId="0" fontId="78" fillId="0" borderId="0" xfId="2" applyFont="1" applyFill="1"/>
    <xf numFmtId="0" fontId="80" fillId="0" borderId="0" xfId="2" applyFont="1" applyFill="1"/>
    <xf numFmtId="0" fontId="13" fillId="0" borderId="0" xfId="2" applyFill="1" applyAlignment="1">
      <alignment horizontal="center"/>
    </xf>
    <xf numFmtId="0" fontId="72" fillId="0" borderId="120" xfId="2" applyFont="1" applyFill="1" applyBorder="1"/>
    <xf numFmtId="2" fontId="70" fillId="0" borderId="120" xfId="2" applyNumberFormat="1" applyFont="1" applyFill="1" applyBorder="1" applyAlignment="1">
      <alignment horizontal="center" vertical="center" wrapText="1"/>
    </xf>
    <xf numFmtId="9" fontId="70" fillId="0" borderId="120" xfId="1" applyFont="1" applyFill="1" applyBorder="1" applyAlignment="1">
      <alignment horizontal="right" vertical="center" wrapText="1"/>
    </xf>
    <xf numFmtId="0" fontId="72" fillId="0" borderId="121" xfId="2" applyFont="1" applyFill="1" applyBorder="1"/>
    <xf numFmtId="2" fontId="70" fillId="0" borderId="121" xfId="2" applyNumberFormat="1" applyFont="1" applyFill="1" applyBorder="1" applyAlignment="1">
      <alignment horizontal="center" vertical="center" wrapText="1"/>
    </xf>
    <xf numFmtId="9" fontId="70" fillId="0" borderId="121" xfId="1" applyFont="1" applyFill="1" applyBorder="1" applyAlignment="1">
      <alignment horizontal="right" vertical="center" wrapText="1"/>
    </xf>
    <xf numFmtId="9" fontId="71" fillId="0" borderId="0" xfId="4" applyFont="1" applyFill="1" applyAlignment="1">
      <alignment horizontal="left"/>
    </xf>
    <xf numFmtId="9" fontId="71" fillId="0" borderId="0" xfId="4" applyFont="1" applyFill="1"/>
    <xf numFmtId="0" fontId="71" fillId="0" borderId="0" xfId="2" applyFont="1" applyFill="1" applyBorder="1"/>
    <xf numFmtId="0" fontId="72" fillId="0" borderId="122" xfId="2" applyFont="1" applyFill="1" applyBorder="1"/>
    <xf numFmtId="2" fontId="70" fillId="0" borderId="122" xfId="2" applyNumberFormat="1" applyFont="1" applyFill="1" applyBorder="1" applyAlignment="1">
      <alignment horizontal="center" vertical="center" wrapText="1"/>
    </xf>
    <xf numFmtId="9" fontId="70" fillId="0" borderId="122" xfId="1" applyFont="1" applyFill="1" applyBorder="1" applyAlignment="1">
      <alignment horizontal="right" vertical="center" wrapText="1"/>
    </xf>
    <xf numFmtId="2" fontId="30" fillId="30" borderId="0" xfId="2" applyNumberFormat="1" applyFont="1" applyFill="1" applyBorder="1" applyAlignment="1">
      <alignment horizontal="left" vertical="center"/>
    </xf>
    <xf numFmtId="0" fontId="63" fillId="30" borderId="0" xfId="2" applyFont="1" applyFill="1"/>
    <xf numFmtId="0" fontId="82" fillId="6" borderId="0" xfId="2" applyFont="1" applyFill="1"/>
    <xf numFmtId="9" fontId="82" fillId="6" borderId="0" xfId="4" applyFont="1" applyFill="1" applyAlignment="1">
      <alignment horizontal="left"/>
    </xf>
    <xf numFmtId="4" fontId="83" fillId="6" borderId="0" xfId="2" applyNumberFormat="1" applyFont="1" applyFill="1" applyAlignment="1" applyProtection="1">
      <protection locked="0"/>
    </xf>
    <xf numFmtId="9" fontId="82" fillId="6" borderId="0" xfId="4" applyFont="1" applyFill="1"/>
    <xf numFmtId="0" fontId="68" fillId="30" borderId="0" xfId="2" applyFont="1" applyFill="1" applyBorder="1"/>
    <xf numFmtId="170" fontId="67" fillId="0" borderId="0" xfId="31" applyNumberFormat="1" applyFont="1" applyProtection="1"/>
    <xf numFmtId="9" fontId="83" fillId="6" borderId="0" xfId="4" applyFont="1" applyFill="1" applyAlignment="1" applyProtection="1">
      <alignment horizontal="left"/>
      <protection locked="0"/>
    </xf>
    <xf numFmtId="0" fontId="63" fillId="6" borderId="0" xfId="2" applyFont="1" applyFill="1"/>
    <xf numFmtId="0" fontId="67" fillId="30" borderId="0" xfId="2" applyFont="1" applyFill="1" applyBorder="1" applyAlignment="1">
      <alignment horizontal="left" vertical="center"/>
    </xf>
    <xf numFmtId="0" fontId="67" fillId="30" borderId="0" xfId="2" applyFont="1" applyFill="1" applyBorder="1" applyAlignment="1">
      <alignment vertical="center"/>
    </xf>
    <xf numFmtId="3" fontId="67" fillId="30" borderId="0" xfId="2" applyNumberFormat="1" applyFont="1" applyFill="1" applyBorder="1" applyAlignment="1">
      <alignment vertical="center"/>
    </xf>
    <xf numFmtId="170" fontId="67" fillId="30" borderId="0" xfId="2" applyNumberFormat="1" applyFont="1" applyFill="1" applyBorder="1" applyAlignment="1">
      <alignment vertical="center"/>
    </xf>
    <xf numFmtId="3" fontId="67" fillId="30" borderId="0" xfId="2" applyNumberFormat="1" applyFont="1" applyFill="1" applyBorder="1" applyAlignment="1">
      <alignment horizontal="left" vertical="center"/>
    </xf>
    <xf numFmtId="0" fontId="76" fillId="30" borderId="0" xfId="2" applyFont="1" applyFill="1" applyBorder="1" applyAlignment="1">
      <alignment horizontal="left" vertical="center"/>
    </xf>
    <xf numFmtId="170" fontId="76" fillId="30" borderId="0" xfId="2" applyNumberFormat="1" applyFont="1" applyFill="1" applyBorder="1" applyAlignment="1">
      <alignment horizontal="left" vertical="center"/>
    </xf>
    <xf numFmtId="0" fontId="14" fillId="30" borderId="0" xfId="2" applyFont="1" applyFill="1" applyBorder="1" applyAlignment="1">
      <alignment horizontal="left" vertical="center"/>
    </xf>
    <xf numFmtId="3" fontId="84" fillId="30" borderId="0" xfId="2" applyNumberFormat="1" applyFont="1" applyFill="1" applyBorder="1" applyAlignment="1">
      <alignment horizontal="left" vertical="center"/>
    </xf>
    <xf numFmtId="3" fontId="76" fillId="30" borderId="0" xfId="2" applyNumberFormat="1" applyFont="1" applyFill="1" applyBorder="1" applyAlignment="1">
      <alignment horizontal="center" vertical="center"/>
    </xf>
    <xf numFmtId="172" fontId="76" fillId="30" borderId="123" xfId="2" applyNumberFormat="1" applyFont="1" applyFill="1" applyBorder="1" applyAlignment="1">
      <alignment horizontal="center" vertical="center"/>
    </xf>
    <xf numFmtId="172" fontId="76" fillId="30" borderId="124" xfId="2" applyNumberFormat="1" applyFont="1" applyFill="1" applyBorder="1" applyAlignment="1">
      <alignment horizontal="center" vertical="center"/>
    </xf>
    <xf numFmtId="49" fontId="76" fillId="30" borderId="125" xfId="2" applyNumberFormat="1" applyFont="1" applyFill="1" applyBorder="1" applyAlignment="1">
      <alignment horizontal="center" vertical="center"/>
    </xf>
    <xf numFmtId="1" fontId="76" fillId="30" borderId="123" xfId="2" applyNumberFormat="1" applyFont="1" applyFill="1" applyBorder="1" applyAlignment="1">
      <alignment horizontal="center" vertical="center"/>
    </xf>
    <xf numFmtId="49" fontId="76" fillId="30" borderId="126" xfId="2" applyNumberFormat="1" applyFont="1" applyFill="1" applyBorder="1" applyAlignment="1">
      <alignment horizontal="center" vertical="center"/>
    </xf>
    <xf numFmtId="172" fontId="76" fillId="30" borderId="126" xfId="2" applyNumberFormat="1" applyFont="1" applyFill="1" applyBorder="1" applyAlignment="1">
      <alignment horizontal="center" vertical="center"/>
    </xf>
    <xf numFmtId="0" fontId="67" fillId="30" borderId="127" xfId="2" applyFont="1" applyFill="1" applyBorder="1" applyAlignment="1">
      <alignment horizontal="left" vertical="center"/>
    </xf>
    <xf numFmtId="173" fontId="67" fillId="30" borderId="127" xfId="2" applyNumberFormat="1" applyFont="1" applyFill="1" applyBorder="1" applyAlignment="1">
      <alignment horizontal="center" vertical="center"/>
    </xf>
    <xf numFmtId="3" fontId="67" fillId="30" borderId="127" xfId="2" applyNumberFormat="1" applyFont="1" applyFill="1" applyBorder="1" applyAlignment="1">
      <alignment horizontal="center" vertical="center"/>
    </xf>
    <xf numFmtId="3" fontId="67" fillId="30" borderId="128" xfId="2" applyNumberFormat="1" applyFont="1" applyFill="1" applyBorder="1" applyAlignment="1">
      <alignment horizontal="center" vertical="center"/>
    </xf>
    <xf numFmtId="3" fontId="67" fillId="30" borderId="129" xfId="2" applyNumberFormat="1" applyFont="1" applyFill="1" applyBorder="1" applyAlignment="1">
      <alignment horizontal="center" vertical="center"/>
    </xf>
    <xf numFmtId="1" fontId="67" fillId="30" borderId="130" xfId="2" applyNumberFormat="1" applyFont="1" applyFill="1" applyBorder="1" applyAlignment="1">
      <alignment horizontal="center" vertical="center"/>
    </xf>
    <xf numFmtId="1" fontId="67" fillId="30" borderId="131" xfId="2" applyNumberFormat="1" applyFont="1" applyFill="1" applyBorder="1" applyAlignment="1">
      <alignment horizontal="center" vertical="center"/>
    </xf>
    <xf numFmtId="9" fontId="67" fillId="30" borderId="12" xfId="1" applyFont="1" applyFill="1" applyBorder="1" applyAlignment="1">
      <alignment horizontal="center" vertical="center"/>
    </xf>
    <xf numFmtId="0" fontId="85" fillId="30" borderId="0" xfId="2" applyFont="1" applyFill="1" applyBorder="1" applyAlignment="1">
      <alignment vertical="center"/>
    </xf>
    <xf numFmtId="173" fontId="67" fillId="30" borderId="132" xfId="2" applyNumberFormat="1" applyFont="1" applyFill="1" applyBorder="1" applyAlignment="1">
      <alignment horizontal="center" vertical="center"/>
    </xf>
    <xf numFmtId="3" fontId="67" fillId="30" borderId="132" xfId="2" applyNumberFormat="1" applyFont="1" applyFill="1" applyBorder="1" applyAlignment="1">
      <alignment horizontal="center" vertical="center"/>
    </xf>
    <xf numFmtId="3" fontId="67" fillId="30" borderId="133" xfId="2" applyNumberFormat="1" applyFont="1" applyFill="1" applyBorder="1" applyAlignment="1">
      <alignment horizontal="center" vertical="center"/>
    </xf>
    <xf numFmtId="3" fontId="67" fillId="30" borderId="134" xfId="2" applyNumberFormat="1" applyFont="1" applyFill="1" applyBorder="1" applyAlignment="1">
      <alignment horizontal="center" vertical="center"/>
    </xf>
    <xf numFmtId="1" fontId="67" fillId="30" borderId="133" xfId="2" applyNumberFormat="1" applyFont="1" applyFill="1" applyBorder="1" applyAlignment="1">
      <alignment horizontal="center" vertical="center"/>
    </xf>
    <xf numFmtId="1" fontId="67" fillId="30" borderId="135" xfId="2" applyNumberFormat="1" applyFont="1" applyFill="1" applyBorder="1" applyAlignment="1">
      <alignment horizontal="center" vertical="center"/>
    </xf>
    <xf numFmtId="9" fontId="67" fillId="30" borderId="136" xfId="1" applyFont="1" applyFill="1" applyBorder="1" applyAlignment="1">
      <alignment horizontal="center" vertical="center"/>
    </xf>
    <xf numFmtId="0" fontId="13" fillId="30" borderId="0" xfId="2" applyFill="1"/>
    <xf numFmtId="173" fontId="67" fillId="30" borderId="0" xfId="2" applyNumberFormat="1" applyFont="1" applyFill="1" applyBorder="1" applyAlignment="1">
      <alignment horizontal="right" vertical="center"/>
    </xf>
    <xf numFmtId="0" fontId="70" fillId="6" borderId="0" xfId="2" applyFont="1" applyFill="1" applyAlignment="1">
      <alignment horizontal="left" vertical="center" wrapText="1"/>
    </xf>
    <xf numFmtId="1" fontId="67" fillId="30" borderId="123" xfId="2" applyNumberFormat="1" applyFont="1" applyFill="1" applyBorder="1" applyAlignment="1">
      <alignment horizontal="center" vertical="center"/>
    </xf>
    <xf numFmtId="1" fontId="67" fillId="30" borderId="124" xfId="2" applyNumberFormat="1" applyFont="1" applyFill="1" applyBorder="1" applyAlignment="1">
      <alignment horizontal="center" vertical="center"/>
    </xf>
    <xf numFmtId="1" fontId="67" fillId="30" borderId="125" xfId="2" applyNumberFormat="1" applyFont="1" applyFill="1" applyBorder="1" applyAlignment="1">
      <alignment horizontal="center" vertical="center"/>
    </xf>
    <xf numFmtId="9" fontId="67" fillId="30" borderId="137" xfId="1" applyFont="1" applyFill="1" applyBorder="1" applyAlignment="1">
      <alignment horizontal="center" vertical="center"/>
    </xf>
    <xf numFmtId="173" fontId="67" fillId="30" borderId="0" xfId="2" applyNumberFormat="1" applyFont="1" applyFill="1" applyBorder="1" applyAlignment="1">
      <alignment vertical="center"/>
    </xf>
    <xf numFmtId="9" fontId="13" fillId="30" borderId="0" xfId="1" applyFill="1" applyBorder="1" applyAlignment="1" applyProtection="1">
      <alignment vertical="center"/>
    </xf>
    <xf numFmtId="0" fontId="67" fillId="0" borderId="0" xfId="2" applyFont="1" applyFill="1" applyBorder="1" applyAlignment="1">
      <alignment vertical="center"/>
    </xf>
    <xf numFmtId="1" fontId="67" fillId="0" borderId="0" xfId="2" applyNumberFormat="1" applyFont="1" applyFill="1" applyBorder="1" applyAlignment="1">
      <alignment horizontal="center" vertical="center"/>
    </xf>
    <xf numFmtId="0" fontId="86" fillId="30" borderId="0" xfId="2" applyFont="1" applyFill="1" applyBorder="1" applyAlignment="1">
      <alignment horizontal="left" vertical="center"/>
    </xf>
    <xf numFmtId="3" fontId="76" fillId="30" borderId="0" xfId="2" applyNumberFormat="1" applyFont="1" applyFill="1" applyBorder="1" applyAlignment="1">
      <alignment horizontal="left" vertical="center"/>
    </xf>
    <xf numFmtId="0" fontId="76" fillId="30" borderId="0" xfId="2" applyFont="1" applyFill="1" applyBorder="1" applyAlignment="1">
      <alignment horizontal="center" vertical="center"/>
    </xf>
    <xf numFmtId="0" fontId="76" fillId="30" borderId="124" xfId="2" applyNumberFormat="1" applyFont="1" applyFill="1" applyBorder="1" applyAlignment="1">
      <alignment horizontal="center" vertical="center" wrapText="1"/>
    </xf>
    <xf numFmtId="0" fontId="76" fillId="30" borderId="138" xfId="2" applyNumberFormat="1" applyFont="1" applyFill="1" applyBorder="1" applyAlignment="1">
      <alignment horizontal="center" vertical="center" wrapText="1"/>
    </xf>
    <xf numFmtId="0" fontId="76" fillId="30" borderId="139" xfId="2" applyNumberFormat="1" applyFont="1" applyFill="1" applyBorder="1" applyAlignment="1">
      <alignment horizontal="center" vertical="center" wrapText="1"/>
    </xf>
    <xf numFmtId="0" fontId="67" fillId="30" borderId="0" xfId="2" applyFont="1" applyFill="1" applyBorder="1" applyAlignment="1">
      <alignment horizontal="center" vertical="center"/>
    </xf>
    <xf numFmtId="173" fontId="67" fillId="30" borderId="140" xfId="2" applyNumberFormat="1" applyFont="1" applyFill="1" applyBorder="1" applyAlignment="1">
      <alignment horizontal="center" vertical="center"/>
    </xf>
    <xf numFmtId="173" fontId="67" fillId="30" borderId="141" xfId="2" applyNumberFormat="1" applyFont="1" applyFill="1" applyBorder="1" applyAlignment="1">
      <alignment horizontal="center" vertical="center"/>
    </xf>
    <xf numFmtId="173" fontId="67" fillId="30" borderId="142" xfId="2" applyNumberFormat="1" applyFont="1" applyFill="1" applyBorder="1" applyAlignment="1">
      <alignment horizontal="center" vertical="center"/>
    </xf>
    <xf numFmtId="0" fontId="76" fillId="30" borderId="143" xfId="2" applyNumberFormat="1" applyFont="1" applyFill="1" applyBorder="1" applyAlignment="1">
      <alignment horizontal="center" vertical="center"/>
    </xf>
    <xf numFmtId="0" fontId="76" fillId="30" borderId="144" xfId="2" applyNumberFormat="1" applyFont="1" applyFill="1" applyBorder="1" applyAlignment="1">
      <alignment horizontal="center" vertical="center"/>
    </xf>
    <xf numFmtId="0" fontId="67" fillId="30" borderId="127" xfId="2" applyFont="1" applyFill="1" applyBorder="1" applyAlignment="1">
      <alignment horizontal="center" vertical="center"/>
    </xf>
    <xf numFmtId="173" fontId="67" fillId="30" borderId="145" xfId="2" applyNumberFormat="1" applyFont="1" applyFill="1" applyBorder="1" applyAlignment="1">
      <alignment horizontal="center" vertical="center"/>
    </xf>
    <xf numFmtId="173" fontId="67" fillId="30" borderId="146" xfId="2" applyNumberFormat="1" applyFont="1" applyFill="1" applyBorder="1" applyAlignment="1">
      <alignment horizontal="center" vertical="center"/>
    </xf>
    <xf numFmtId="173" fontId="67" fillId="30" borderId="147" xfId="2" applyNumberFormat="1" applyFont="1" applyFill="1" applyBorder="1" applyAlignment="1">
      <alignment horizontal="center" vertical="center"/>
    </xf>
    <xf numFmtId="1" fontId="67" fillId="30" borderId="138" xfId="2" applyNumberFormat="1" applyFont="1" applyFill="1" applyBorder="1" applyAlignment="1">
      <alignment horizontal="center" vertical="center"/>
    </xf>
    <xf numFmtId="1" fontId="67" fillId="30" borderId="144" xfId="2" applyNumberFormat="1" applyFont="1" applyFill="1" applyBorder="1" applyAlignment="1">
      <alignment horizontal="center" vertical="center"/>
    </xf>
    <xf numFmtId="9" fontId="67" fillId="30" borderId="124" xfId="1" applyFont="1" applyFill="1" applyBorder="1" applyAlignment="1" applyProtection="1">
      <alignment horizontal="center" vertical="center"/>
    </xf>
    <xf numFmtId="9" fontId="67" fillId="30" borderId="138" xfId="1" applyFont="1" applyFill="1" applyBorder="1" applyAlignment="1" applyProtection="1">
      <alignment horizontal="center" vertical="center"/>
    </xf>
    <xf numFmtId="9" fontId="67" fillId="30" borderId="148" xfId="1" applyFont="1" applyFill="1" applyBorder="1" applyAlignment="1" applyProtection="1">
      <alignment horizontal="center" vertical="center"/>
    </xf>
    <xf numFmtId="1" fontId="87" fillId="30" borderId="0" xfId="2" applyNumberFormat="1" applyFont="1" applyFill="1" applyBorder="1" applyAlignment="1">
      <alignment vertical="center"/>
    </xf>
    <xf numFmtId="1" fontId="67" fillId="30" borderId="0" xfId="2" applyNumberFormat="1" applyFont="1" applyFill="1" applyBorder="1" applyAlignment="1">
      <alignment vertical="center"/>
    </xf>
    <xf numFmtId="1" fontId="67" fillId="30" borderId="0" xfId="2" applyNumberFormat="1" applyFont="1" applyFill="1" applyBorder="1" applyAlignment="1">
      <alignment horizontal="center"/>
    </xf>
    <xf numFmtId="1" fontId="4" fillId="3" borderId="0" xfId="4" applyNumberFormat="1" applyFont="1" applyFill="1" applyBorder="1" applyAlignment="1" applyProtection="1">
      <alignment horizontal="right" vertical="center"/>
      <protection locked="0"/>
    </xf>
    <xf numFmtId="1" fontId="4" fillId="3" borderId="105" xfId="4" applyNumberFormat="1" applyFont="1" applyFill="1" applyBorder="1" applyAlignment="1" applyProtection="1">
      <alignment horizontal="right" vertical="center"/>
      <protection locked="0"/>
    </xf>
    <xf numFmtId="9" fontId="15" fillId="6" borderId="149" xfId="33" applyFill="1" applyBorder="1" applyProtection="1">
      <protection locked="0"/>
    </xf>
    <xf numFmtId="0" fontId="15" fillId="6" borderId="149" xfId="31" applyFill="1" applyBorder="1">
      <protection locked="0"/>
    </xf>
    <xf numFmtId="3" fontId="4" fillId="21" borderId="149" xfId="0" applyNumberFormat="1" applyFont="1" applyFill="1" applyBorder="1" applyAlignment="1">
      <alignment horizontal="right" vertical="center"/>
      <protection locked="0"/>
    </xf>
    <xf numFmtId="0" fontId="13" fillId="6" borderId="149" xfId="2" applyFill="1" applyBorder="1"/>
    <xf numFmtId="1" fontId="15" fillId="6" borderId="149" xfId="33" applyNumberFormat="1" applyFill="1" applyBorder="1" applyProtection="1">
      <protection locked="0"/>
    </xf>
    <xf numFmtId="9" fontId="13" fillId="6" borderId="149" xfId="4" applyFont="1" applyFill="1" applyBorder="1"/>
    <xf numFmtId="9" fontId="57" fillId="23" borderId="150" xfId="33" applyNumberFormat="1" applyFont="1" applyFill="1" applyBorder="1" applyAlignment="1" applyProtection="1">
      <alignment horizontal="right" vertical="center"/>
      <protection locked="0"/>
    </xf>
    <xf numFmtId="1" fontId="4" fillId="3" borderId="39" xfId="4" applyNumberFormat="1" applyFont="1" applyFill="1" applyBorder="1" applyAlignment="1" applyProtection="1">
      <alignment horizontal="right" vertical="center"/>
      <protection locked="0"/>
    </xf>
    <xf numFmtId="9" fontId="57" fillId="24" borderId="151" xfId="33" applyNumberFormat="1" applyFont="1" applyFill="1" applyBorder="1" applyAlignment="1" applyProtection="1">
      <alignment horizontal="right" vertical="center"/>
      <protection locked="0"/>
    </xf>
    <xf numFmtId="9" fontId="57" fillId="23" borderId="151" xfId="33" applyNumberFormat="1" applyFont="1" applyFill="1" applyBorder="1" applyAlignment="1" applyProtection="1">
      <alignment horizontal="right" vertical="center"/>
      <protection locked="0"/>
    </xf>
    <xf numFmtId="9" fontId="59" fillId="19" borderId="152" xfId="33" applyFont="1" applyFill="1" applyBorder="1" applyAlignment="1" applyProtection="1">
      <alignment horizontal="right" vertical="center"/>
      <protection locked="0"/>
    </xf>
    <xf numFmtId="9" fontId="57" fillId="23" borderId="153" xfId="33" applyNumberFormat="1" applyFont="1" applyFill="1" applyBorder="1" applyAlignment="1" applyProtection="1">
      <alignment horizontal="right" vertical="center"/>
      <protection locked="0"/>
    </xf>
    <xf numFmtId="9" fontId="59" fillId="18" borderId="152" xfId="33" applyFont="1" applyFill="1" applyBorder="1" applyAlignment="1" applyProtection="1">
      <alignment horizontal="right" vertical="center"/>
      <protection locked="0"/>
    </xf>
    <xf numFmtId="1" fontId="4" fillId="3" borderId="106" xfId="4" applyNumberFormat="1" applyFont="1" applyFill="1" applyBorder="1" applyAlignment="1" applyProtection="1">
      <alignment horizontal="right" vertical="center"/>
      <protection locked="0"/>
    </xf>
    <xf numFmtId="0" fontId="56" fillId="0" borderId="154" xfId="35" applyFont="1" applyBorder="1" applyAlignment="1">
      <alignment horizontal="center" vertical="center" wrapText="1"/>
      <protection locked="0"/>
    </xf>
    <xf numFmtId="0" fontId="56" fillId="0" borderId="154" xfId="31" applyFont="1" applyBorder="1" applyAlignment="1">
      <alignment horizontal="center" vertical="center" wrapText="1"/>
      <protection locked="0"/>
    </xf>
    <xf numFmtId="0" fontId="56" fillId="0" borderId="155" xfId="31" applyFont="1" applyBorder="1" applyAlignment="1">
      <alignment horizontal="center" vertical="center" wrapText="1"/>
      <protection locked="0"/>
    </xf>
    <xf numFmtId="9" fontId="13" fillId="0" borderId="0" xfId="4" applyFont="1" applyBorder="1"/>
    <xf numFmtId="9" fontId="45" fillId="0" borderId="0" xfId="4" applyFont="1" applyFill="1" applyBorder="1" applyAlignment="1" applyProtection="1">
      <alignment horizontal="right" vertical="center"/>
      <protection locked="0"/>
    </xf>
    <xf numFmtId="9" fontId="41" fillId="0" borderId="0" xfId="4" applyFont="1" applyFill="1" applyBorder="1" applyAlignment="1" applyProtection="1">
      <alignment horizontal="right" vertical="center"/>
      <protection locked="0"/>
    </xf>
    <xf numFmtId="9" fontId="40" fillId="0" borderId="0" xfId="4" applyFont="1" applyFill="1" applyBorder="1" applyAlignment="1" applyProtection="1">
      <alignment horizontal="right" vertical="center"/>
      <protection locked="0"/>
    </xf>
    <xf numFmtId="9" fontId="4" fillId="31" borderId="84" xfId="4" applyFont="1" applyFill="1" applyBorder="1"/>
    <xf numFmtId="9" fontId="4" fillId="31" borderId="75" xfId="4" applyFont="1" applyFill="1" applyBorder="1"/>
    <xf numFmtId="9" fontId="4" fillId="31" borderId="46" xfId="4" applyFont="1" applyFill="1" applyBorder="1"/>
    <xf numFmtId="0" fontId="4" fillId="16" borderId="59" xfId="0" applyFont="1" applyFill="1" applyBorder="1" applyAlignment="1">
      <alignment vertical="center"/>
      <protection locked="0"/>
    </xf>
    <xf numFmtId="9" fontId="4" fillId="31" borderId="156" xfId="4" applyFont="1" applyFill="1" applyBorder="1"/>
    <xf numFmtId="9" fontId="4" fillId="31" borderId="157" xfId="4" applyFont="1" applyFill="1" applyBorder="1"/>
    <xf numFmtId="0" fontId="77" fillId="0" borderId="35" xfId="0" applyFont="1" applyBorder="1" applyAlignment="1">
      <protection locked="0"/>
    </xf>
    <xf numFmtId="0" fontId="35" fillId="2" borderId="31" xfId="35" applyFont="1" applyFill="1" applyBorder="1" applyAlignment="1">
      <alignment vertical="center" wrapText="1"/>
      <protection locked="0"/>
    </xf>
    <xf numFmtId="0" fontId="34" fillId="2" borderId="72" xfId="35" applyFont="1" applyFill="1" applyBorder="1" applyAlignment="1">
      <alignment vertical="center" wrapText="1"/>
      <protection locked="0"/>
    </xf>
    <xf numFmtId="0" fontId="13" fillId="0" borderId="0" xfId="2" applyFont="1" applyFill="1" applyBorder="1" applyAlignment="1">
      <alignment horizontal="left" vertical="center"/>
    </xf>
    <xf numFmtId="0" fontId="35" fillId="2" borderId="65" xfId="35" applyFont="1" applyFill="1" applyBorder="1" applyAlignment="1">
      <alignment vertical="center" wrapText="1"/>
      <protection locked="0"/>
    </xf>
    <xf numFmtId="0" fontId="34" fillId="2" borderId="32" xfId="35" applyFont="1" applyFill="1" applyBorder="1" applyAlignment="1">
      <alignment vertical="center" wrapText="1"/>
      <protection locked="0"/>
    </xf>
    <xf numFmtId="0" fontId="35" fillId="2" borderId="79" xfId="35" applyFont="1" applyFill="1" applyBorder="1" applyAlignment="1">
      <alignment vertical="center" wrapText="1"/>
      <protection locked="0"/>
    </xf>
    <xf numFmtId="0" fontId="34" fillId="2" borderId="33" xfId="35" applyFont="1" applyFill="1" applyBorder="1" applyAlignment="1">
      <alignment vertical="center" wrapText="1"/>
      <protection locked="0"/>
    </xf>
    <xf numFmtId="0" fontId="35" fillId="2" borderId="110" xfId="0" applyFont="1" applyFill="1" applyBorder="1" applyAlignment="1">
      <alignment horizontal="center" vertical="center" wrapText="1"/>
      <protection locked="0"/>
    </xf>
    <xf numFmtId="0" fontId="35" fillId="2" borderId="111" xfId="0" applyFont="1" applyFill="1" applyBorder="1" applyAlignment="1">
      <alignment horizontal="center" vertical="center" wrapText="1"/>
      <protection locked="0"/>
    </xf>
    <xf numFmtId="0" fontId="35" fillId="2" borderId="112" xfId="0" applyFont="1" applyFill="1" applyBorder="1" applyAlignment="1">
      <alignment horizontal="center" vertical="center" wrapText="1"/>
      <protection locked="0"/>
    </xf>
    <xf numFmtId="0" fontId="35" fillId="2" borderId="51" xfId="0" applyFont="1" applyFill="1" applyBorder="1" applyAlignment="1">
      <alignment horizontal="center" vertical="center" wrapText="1"/>
      <protection locked="0"/>
    </xf>
    <xf numFmtId="0" fontId="34" fillId="2" borderId="86" xfId="0" applyFont="1" applyFill="1" applyBorder="1" applyAlignment="1">
      <alignment horizontal="center" vertical="center" wrapText="1"/>
      <protection locked="0"/>
    </xf>
    <xf numFmtId="0" fontId="34" fillId="2" borderId="74" xfId="0" applyFont="1" applyFill="1" applyBorder="1" applyAlignment="1">
      <alignment horizontal="center" vertical="center" wrapText="1"/>
      <protection locked="0"/>
    </xf>
    <xf numFmtId="0" fontId="35" fillId="2" borderId="67" xfId="0" applyFont="1" applyFill="1" applyBorder="1" applyAlignment="1">
      <alignment horizontal="center" vertical="center" wrapText="1"/>
      <protection locked="0"/>
    </xf>
    <xf numFmtId="0" fontId="34" fillId="2" borderId="58" xfId="0" applyFont="1" applyFill="1" applyBorder="1" applyAlignment="1">
      <alignment horizontal="center" vertical="center" wrapText="1"/>
      <protection locked="0"/>
    </xf>
    <xf numFmtId="2" fontId="66" fillId="0" borderId="0" xfId="2" applyNumberFormat="1" applyFont="1" applyFill="1" applyBorder="1" applyAlignment="1">
      <alignment horizontal="center" vertical="center" shrinkToFit="1"/>
    </xf>
    <xf numFmtId="2" fontId="66" fillId="0" borderId="0" xfId="2" applyNumberFormat="1" applyFont="1" applyFill="1" applyBorder="1" applyAlignment="1">
      <alignment horizontal="left" vertical="center" shrinkToFit="1"/>
    </xf>
    <xf numFmtId="0" fontId="81" fillId="0" borderId="0" xfId="2" applyFont="1" applyFill="1" applyBorder="1" applyAlignment="1">
      <alignment horizontal="center"/>
    </xf>
  </cellXfs>
  <cellStyles count="41">
    <cellStyle name="20 % - Accent1 2" xfId="5" xr:uid="{00000000-0005-0000-0000-000000000000}"/>
    <cellStyle name="20 % - Accent5 2" xfId="6" xr:uid="{00000000-0005-0000-0000-000001000000}"/>
    <cellStyle name="20 % - Accent6 2" xfId="7" xr:uid="{00000000-0005-0000-0000-000002000000}"/>
    <cellStyle name="40 % - Accent6 2" xfId="8" xr:uid="{00000000-0005-0000-0000-000003000000}"/>
    <cellStyle name="60 % - Accent1 2" xfId="9" xr:uid="{00000000-0005-0000-0000-000004000000}"/>
    <cellStyle name="60 % - Accent5 2" xfId="10" xr:uid="{00000000-0005-0000-0000-000005000000}"/>
    <cellStyle name="60 % - Accent6 2" xfId="11" xr:uid="{00000000-0005-0000-0000-000006000000}"/>
    <cellStyle name="Accent5 2" xfId="12" xr:uid="{00000000-0005-0000-0000-000007000000}"/>
    <cellStyle name="Calcul 2" xfId="13" xr:uid="{00000000-0005-0000-0000-000008000000}"/>
    <cellStyle name="Comma [0]" xfId="14" xr:uid="{00000000-0005-0000-0000-000009000000}"/>
    <cellStyle name="Commentaire" xfId="15" xr:uid="{00000000-0005-0000-0000-00000A000000}"/>
    <cellStyle name="Currency [0]" xfId="16" xr:uid="{00000000-0005-0000-0000-00000B000000}"/>
    <cellStyle name="En-tête" xfId="17" xr:uid="{00000000-0005-0000-0000-00000C000000}"/>
    <cellStyle name="Entrée 2" xfId="18" xr:uid="{00000000-0005-0000-0000-00000D000000}"/>
    <cellStyle name="Lien hypertexte" xfId="32" builtinId="8"/>
    <cellStyle name="Lien hypertexte 2" xfId="19" xr:uid="{00000000-0005-0000-0000-00000F000000}"/>
    <cellStyle name="Milliers" xfId="30" builtinId="3"/>
    <cellStyle name="Milliers 2" xfId="21" xr:uid="{00000000-0005-0000-0000-000011000000}"/>
    <cellStyle name="Milliers 2 2" xfId="34" xr:uid="{00000000-0005-0000-0000-000012000000}"/>
    <cellStyle name="Milliers 3" xfId="20" xr:uid="{00000000-0005-0000-0000-000013000000}"/>
    <cellStyle name="Normal" xfId="0" builtinId="0"/>
    <cellStyle name="Normal 2" xfId="2" xr:uid="{00000000-0005-0000-0000-000015000000}"/>
    <cellStyle name="Normal 3" xfId="22" xr:uid="{00000000-0005-0000-0000-000016000000}"/>
    <cellStyle name="Normal 3 2" xfId="35" xr:uid="{00000000-0005-0000-0000-000017000000}"/>
    <cellStyle name="Normal 4" xfId="31" xr:uid="{00000000-0005-0000-0000-000018000000}"/>
    <cellStyle name="Pourcentage" xfId="4" builtinId="5"/>
    <cellStyle name="Pourcentage 2" xfId="1" xr:uid="{00000000-0005-0000-0000-00001A000000}"/>
    <cellStyle name="Pourcentage 2 2" xfId="23" xr:uid="{00000000-0005-0000-0000-00001B000000}"/>
    <cellStyle name="Pourcentage 2 3" xfId="33" xr:uid="{00000000-0005-0000-0000-00001C000000}"/>
    <cellStyle name="Résultat 1" xfId="24" xr:uid="{00000000-0005-0000-0000-00001D000000}"/>
    <cellStyle name="Résultat2 1" xfId="25" xr:uid="{00000000-0005-0000-0000-00001E000000}"/>
    <cellStyle name="Sortie 2" xfId="26" xr:uid="{00000000-0005-0000-0000-00001F000000}"/>
    <cellStyle name="Texte explicatif" xfId="3" builtinId="53" customBuiltin="1"/>
    <cellStyle name="Titre 1" xfId="27" xr:uid="{00000000-0005-0000-0000-000021000000}"/>
    <cellStyle name="Titre 2" xfId="28" xr:uid="{00000000-0005-0000-0000-000022000000}"/>
    <cellStyle name="Titre1 1" xfId="29" xr:uid="{00000000-0005-0000-0000-000023000000}"/>
    <cellStyle name="XLConnect.Boolean" xfId="39" xr:uid="{00000000-0005-0000-0000-000024000000}"/>
    <cellStyle name="XLConnect.DateTime" xfId="40" xr:uid="{00000000-0005-0000-0000-000025000000}"/>
    <cellStyle name="XLConnect.Header" xfId="36" xr:uid="{00000000-0005-0000-0000-000026000000}"/>
    <cellStyle name="XLConnect.Numeric" xfId="38" xr:uid="{00000000-0005-0000-0000-000027000000}"/>
    <cellStyle name="XLConnect.String" xfId="37" xr:uid="{00000000-0005-0000-0000-000028000000}"/>
  </cellStyles>
  <dxfs count="0"/>
  <tableStyles count="0" defaultTableStyle="TableStyleMedium2" defaultPivotStyle="PivotStyleLight16"/>
  <colors>
    <indexedColors>
      <rgbColor rgb="FF000000"/>
      <rgbColor rgb="FFFFFFFF"/>
      <rgbColor rgb="FFFF0000"/>
      <rgbColor rgb="FF00FF00"/>
      <rgbColor rgb="FF0000FF"/>
      <rgbColor rgb="FFFFD320"/>
      <rgbColor rgb="FFFF00FF"/>
      <rgbColor rgb="FF00FFFF"/>
      <rgbColor rgb="FFCC0000"/>
      <rgbColor rgb="FF008000"/>
      <rgbColor rgb="FF000080"/>
      <rgbColor rgb="FF996600"/>
      <rgbColor rgb="FF800080"/>
      <rgbColor rgb="FF008080"/>
      <rgbColor rgb="FFC0C0C0"/>
      <rgbColor rgb="FF808080"/>
      <rgbColor rgb="FFFFCCCC"/>
      <rgbColor rgb="FF666666"/>
      <rgbColor rgb="FFFFFFCC"/>
      <rgbColor rgb="FFCCFFFF"/>
      <rgbColor rgb="FF660066"/>
      <rgbColor rgb="FFFF420E"/>
      <rgbColor rgb="FF0066CC"/>
      <rgbColor rgb="FFCCCCFF"/>
      <rgbColor rgb="FF0000CC"/>
      <rgbColor rgb="FFFF00FF"/>
      <rgbColor rgb="FFE3D200"/>
      <rgbColor rgb="FF00FFFF"/>
      <rgbColor rgb="FF800080"/>
      <rgbColor rgb="FF800000"/>
      <rgbColor rgb="FF008080"/>
      <rgbColor rgb="FF0000EE"/>
      <rgbColor rgb="FF00CCFF"/>
      <rgbColor rgb="FFDDDDDD"/>
      <rgbColor rgb="FFCCFFCC"/>
      <rgbColor rgb="FFFFFF99"/>
      <rgbColor rgb="FF99CCFF"/>
      <rgbColor rgb="FFFF99CC"/>
      <rgbColor rgb="FFB3B3B3"/>
      <rgbColor rgb="FFFFCC99"/>
      <rgbColor rgb="FF3366FF"/>
      <rgbColor rgb="FF33CCCC"/>
      <rgbColor rgb="FF99CC00"/>
      <rgbColor rgb="FFFFCC00"/>
      <rgbColor rgb="FFFF9900"/>
      <rgbColor rgb="FFFF6600"/>
      <rgbColor rgb="FF666699"/>
      <rgbColor rgb="FF969696"/>
      <rgbColor rgb="FF004586"/>
      <rgbColor rgb="FF339966"/>
      <rgbColor rgb="FF0066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CCFFCC"/>
      <color rgb="FFCBF6A0"/>
      <color rgb="FF90EC34"/>
      <color rgb="FF252AFF"/>
      <color rgb="FF3D9E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Evolution des cotations de blé tendre</a:t>
            </a:r>
          </a:p>
        </c:rich>
      </c:tx>
      <c:layout>
        <c:manualLayout>
          <c:xMode val="edge"/>
          <c:yMode val="edge"/>
          <c:x val="0.54512230726627087"/>
          <c:y val="4.1883548417067158E-2"/>
        </c:manualLayout>
      </c:layout>
      <c:overlay val="0"/>
      <c:spPr>
        <a:noFill/>
        <a:ln w="25400">
          <a:noFill/>
        </a:ln>
      </c:spPr>
    </c:title>
    <c:autoTitleDeleted val="0"/>
    <c:plotArea>
      <c:layout>
        <c:manualLayout>
          <c:layoutTarget val="inner"/>
          <c:xMode val="edge"/>
          <c:yMode val="edge"/>
          <c:x val="0.13893554631730795"/>
          <c:y val="0.19281680653713371"/>
          <c:w val="0.78475682205600306"/>
          <c:h val="0.52289303467697268"/>
        </c:manualLayout>
      </c:layout>
      <c:lineChart>
        <c:grouping val="standard"/>
        <c:varyColors val="0"/>
        <c:ser>
          <c:idx val="0"/>
          <c:order val="0"/>
          <c:tx>
            <c:strRef>
              <c:f>Cotations_cereales!$B$11</c:f>
              <c:strCache>
                <c:ptCount val="1"/>
                <c:pt idx="0">
                  <c:v>Moyenne 2020-2024</c:v>
                </c:pt>
              </c:strCache>
            </c:strRef>
          </c:tx>
          <c:spPr>
            <a:ln w="25400">
              <a:solidFill>
                <a:srgbClr val="FFD320"/>
              </a:solidFill>
              <a:prstDash val="sysDash"/>
            </a:ln>
          </c:spPr>
          <c:marker>
            <c:symbol val="none"/>
          </c:marker>
          <c:cat>
            <c:strRef>
              <c:f>Cotations_cereales!$A$12:$A$23</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Cotations_cereales!$B$12:$B$23</c:f>
              <c:numCache>
                <c:formatCode>0.00</c:formatCode>
                <c:ptCount val="12"/>
                <c:pt idx="0">
                  <c:v>238.41756073781295</c:v>
                </c:pt>
                <c:pt idx="1">
                  <c:v>238.2852538163591</c:v>
                </c:pt>
                <c:pt idx="2">
                  <c:v>242.58406320346324</c:v>
                </c:pt>
                <c:pt idx="3">
                  <c:v>253.78057759103643</c:v>
                </c:pt>
                <c:pt idx="4">
                  <c:v>252.75763157894738</c:v>
                </c:pt>
                <c:pt idx="5">
                  <c:v>246.96109502262442</c:v>
                </c:pt>
                <c:pt idx="6">
                  <c:v>244.57358450046686</c:v>
                </c:pt>
                <c:pt idx="7">
                  <c:v>240.87298421052628</c:v>
                </c:pt>
                <c:pt idx="8">
                  <c:v>251.50572408026756</c:v>
                </c:pt>
                <c:pt idx="9">
                  <c:v>248.99460401002506</c:v>
                </c:pt>
                <c:pt idx="10">
                  <c:v>253.65218295739351</c:v>
                </c:pt>
                <c:pt idx="11">
                  <c:v>249.53438585825251</c:v>
                </c:pt>
              </c:numCache>
            </c:numRef>
          </c:val>
          <c:smooth val="0"/>
          <c:extLst>
            <c:ext xmlns:c16="http://schemas.microsoft.com/office/drawing/2014/chart" uri="{C3380CC4-5D6E-409C-BE32-E72D297353CC}">
              <c16:uniqueId val="{00000000-E352-45A7-AF72-48683BB34A72}"/>
            </c:ext>
          </c:extLst>
        </c:ser>
        <c:ser>
          <c:idx val="1"/>
          <c:order val="1"/>
          <c:tx>
            <c:strRef>
              <c:f>Cotations_cereales!$D$11</c:f>
              <c:strCache>
                <c:ptCount val="1"/>
                <c:pt idx="0">
                  <c:v>2025-2026</c:v>
                </c:pt>
              </c:strCache>
            </c:strRef>
          </c:tx>
          <c:spPr>
            <a:ln w="25400">
              <a:solidFill>
                <a:srgbClr val="FF420E"/>
              </a:solidFill>
              <a:prstDash val="solid"/>
            </a:ln>
          </c:spPr>
          <c:marker>
            <c:symbol val="none"/>
          </c:marker>
          <c:cat>
            <c:strRef>
              <c:f>Cotations_cereales!$A$12:$A$23</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Cotations_cereales!$D$12:$D$23</c:f>
              <c:numCache>
                <c:formatCode>0.00</c:formatCode>
                <c:ptCount val="12"/>
                <c:pt idx="0">
                  <c:v>196.46</c:v>
                </c:pt>
                <c:pt idx="1">
                  <c:v>195.29</c:v>
                </c:pt>
                <c:pt idx="2">
                  <c:v>188.23</c:v>
                </c:pt>
                <c:pt idx="3">
                  <c:v>187.24</c:v>
                </c:pt>
              </c:numCache>
            </c:numRef>
          </c:val>
          <c:smooth val="0"/>
          <c:extLst>
            <c:ext xmlns:c16="http://schemas.microsoft.com/office/drawing/2014/chart" uri="{C3380CC4-5D6E-409C-BE32-E72D297353CC}">
              <c16:uniqueId val="{00000001-E352-45A7-AF72-48683BB34A72}"/>
            </c:ext>
          </c:extLst>
        </c:ser>
        <c:ser>
          <c:idx val="2"/>
          <c:order val="2"/>
          <c:tx>
            <c:strRef>
              <c:f>Cotations_cereales!$C$11</c:f>
              <c:strCache>
                <c:ptCount val="1"/>
                <c:pt idx="0">
                  <c:v>2024-2025</c:v>
                </c:pt>
              </c:strCache>
            </c:strRef>
          </c:tx>
          <c:spPr>
            <a:ln w="25400">
              <a:solidFill>
                <a:srgbClr val="663300"/>
              </a:solidFill>
              <a:prstDash val="solid"/>
            </a:ln>
          </c:spPr>
          <c:marker>
            <c:symbol val="none"/>
          </c:marker>
          <c:cat>
            <c:strRef>
              <c:f>Cotations_cereales!$A$12:$A$23</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Cotations_cereales!$C$12:$C$23</c:f>
              <c:numCache>
                <c:formatCode>0.00</c:formatCode>
                <c:ptCount val="12"/>
                <c:pt idx="0">
                  <c:v>219.18181818181819</c:v>
                </c:pt>
                <c:pt idx="1">
                  <c:v>208.43000000000004</c:v>
                </c:pt>
                <c:pt idx="2">
                  <c:v>214.64380952380955</c:v>
                </c:pt>
                <c:pt idx="3">
                  <c:v>223.77500000000001</c:v>
                </c:pt>
                <c:pt idx="4">
                  <c:v>217.42500000000001</c:v>
                </c:pt>
                <c:pt idx="5">
                  <c:v>225.55</c:v>
                </c:pt>
                <c:pt idx="6">
                  <c:v>224.35888888888891</c:v>
                </c:pt>
                <c:pt idx="7">
                  <c:v>224.84299999999993</c:v>
                </c:pt>
                <c:pt idx="8">
                  <c:v>215.52500000000003</c:v>
                </c:pt>
                <c:pt idx="9">
                  <c:v>206.25078947368422</c:v>
                </c:pt>
                <c:pt idx="10">
                  <c:v>192.38444444444445</c:v>
                </c:pt>
                <c:pt idx="11">
                  <c:v>194.76444444444445</c:v>
                </c:pt>
              </c:numCache>
            </c:numRef>
          </c:val>
          <c:smooth val="0"/>
          <c:extLst>
            <c:ext xmlns:c16="http://schemas.microsoft.com/office/drawing/2014/chart" uri="{C3380CC4-5D6E-409C-BE32-E72D297353CC}">
              <c16:uniqueId val="{00000002-E352-45A7-AF72-48683BB34A72}"/>
            </c:ext>
          </c:extLst>
        </c:ser>
        <c:dLbls>
          <c:showLegendKey val="0"/>
          <c:showVal val="0"/>
          <c:showCatName val="0"/>
          <c:showSerName val="0"/>
          <c:showPercent val="0"/>
          <c:showBubbleSize val="0"/>
        </c:dLbls>
        <c:smooth val="0"/>
        <c:axId val="1866331599"/>
        <c:axId val="1"/>
      </c:lineChart>
      <c:catAx>
        <c:axId val="1866331599"/>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7.0792722937071881E-2"/>
              <c:y val="5.9486375880646494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450"/>
          <c:min val="10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866331599"/>
        <c:crossesAt val="1"/>
        <c:crossBetween val="midCat"/>
        <c:majorUnit val="50"/>
      </c:valAx>
      <c:spPr>
        <a:noFill/>
        <a:ln w="3175">
          <a:solidFill>
            <a:srgbClr val="B3B3B3"/>
          </a:solidFill>
          <a:prstDash val="solid"/>
        </a:ln>
      </c:spPr>
    </c:plotArea>
    <c:legend>
      <c:legendPos val="b"/>
      <c:overlay val="0"/>
      <c:spPr>
        <a:no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Évolution des cotations de maïs</a:t>
            </a:r>
          </a:p>
        </c:rich>
      </c:tx>
      <c:layout>
        <c:manualLayout>
          <c:xMode val="edge"/>
          <c:yMode val="edge"/>
          <c:x val="0.27199263011330899"/>
          <c:y val="3.9683727034120736E-2"/>
        </c:manualLayout>
      </c:layout>
      <c:overlay val="0"/>
      <c:spPr>
        <a:noFill/>
        <a:ln w="25400">
          <a:noFill/>
        </a:ln>
      </c:spPr>
    </c:title>
    <c:autoTitleDeleted val="0"/>
    <c:plotArea>
      <c:layout>
        <c:manualLayout>
          <c:layoutTarget val="inner"/>
          <c:xMode val="edge"/>
          <c:yMode val="edge"/>
          <c:x val="0.13893554631730795"/>
          <c:y val="0.21263207978272339"/>
          <c:w val="0.78475682205600306"/>
          <c:h val="0.47177742701791758"/>
        </c:manualLayout>
      </c:layout>
      <c:lineChart>
        <c:grouping val="standard"/>
        <c:varyColors val="0"/>
        <c:ser>
          <c:idx val="0"/>
          <c:order val="0"/>
          <c:tx>
            <c:strRef>
              <c:f>Cotations_cereales!$B$47</c:f>
              <c:strCache>
                <c:ptCount val="1"/>
                <c:pt idx="0">
                  <c:v>Moyenne 2020-2024</c:v>
                </c:pt>
              </c:strCache>
            </c:strRef>
          </c:tx>
          <c:spPr>
            <a:ln w="25400">
              <a:solidFill>
                <a:srgbClr val="FFD320"/>
              </a:solidFill>
              <a:prstDash val="sysDash"/>
            </a:ln>
          </c:spPr>
          <c:marker>
            <c:symbol val="none"/>
          </c:marker>
          <c:cat>
            <c:strRef>
              <c:f>Cotations_cereales!$A$48:$A$59</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Cotations_cereales!$B$48:$B$59</c:f>
              <c:numCache>
                <c:formatCode>0.00</c:formatCode>
                <c:ptCount val="12"/>
                <c:pt idx="0">
                  <c:v>224.07</c:v>
                </c:pt>
                <c:pt idx="1">
                  <c:v>248.01</c:v>
                </c:pt>
                <c:pt idx="2">
                  <c:v>229.89</c:v>
                </c:pt>
                <c:pt idx="3">
                  <c:v>231.49</c:v>
                </c:pt>
                <c:pt idx="4">
                  <c:v>236.91</c:v>
                </c:pt>
                <c:pt idx="5">
                  <c:v>231.23</c:v>
                </c:pt>
                <c:pt idx="6">
                  <c:v>233.79</c:v>
                </c:pt>
                <c:pt idx="7">
                  <c:v>234.73</c:v>
                </c:pt>
                <c:pt idx="8">
                  <c:v>248.26</c:v>
                </c:pt>
                <c:pt idx="9">
                  <c:v>245.11</c:v>
                </c:pt>
                <c:pt idx="10">
                  <c:v>246.66</c:v>
                </c:pt>
                <c:pt idx="11">
                  <c:v>225.3</c:v>
                </c:pt>
              </c:numCache>
            </c:numRef>
          </c:val>
          <c:smooth val="0"/>
          <c:extLst>
            <c:ext xmlns:c16="http://schemas.microsoft.com/office/drawing/2014/chart" uri="{C3380CC4-5D6E-409C-BE32-E72D297353CC}">
              <c16:uniqueId val="{00000000-5C2B-499F-A1EB-117021E71B59}"/>
            </c:ext>
          </c:extLst>
        </c:ser>
        <c:ser>
          <c:idx val="1"/>
          <c:order val="1"/>
          <c:tx>
            <c:strRef>
              <c:f>Cotations_cereales!$D$47</c:f>
              <c:strCache>
                <c:ptCount val="1"/>
                <c:pt idx="0">
                  <c:v>2025-2026</c:v>
                </c:pt>
              </c:strCache>
            </c:strRef>
          </c:tx>
          <c:spPr>
            <a:ln w="25400">
              <a:solidFill>
                <a:srgbClr val="EB613D"/>
              </a:solidFill>
              <a:prstDash val="solid"/>
            </a:ln>
          </c:spPr>
          <c:marker>
            <c:symbol val="none"/>
          </c:marker>
          <c:cat>
            <c:strRef>
              <c:f>Cotations_cereales!$A$48:$A$59</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Cotations_cereales!$D$48:$D$59</c:f>
              <c:numCache>
                <c:formatCode>0.00</c:formatCode>
                <c:ptCount val="12"/>
                <c:pt idx="0">
                  <c:v>197.15</c:v>
                </c:pt>
                <c:pt idx="1">
                  <c:v>194.9</c:v>
                </c:pt>
                <c:pt idx="2">
                  <c:v>190.59</c:v>
                </c:pt>
                <c:pt idx="3">
                  <c:v>187.62</c:v>
                </c:pt>
              </c:numCache>
            </c:numRef>
          </c:val>
          <c:smooth val="0"/>
          <c:extLst>
            <c:ext xmlns:c16="http://schemas.microsoft.com/office/drawing/2014/chart" uri="{C3380CC4-5D6E-409C-BE32-E72D297353CC}">
              <c16:uniqueId val="{00000001-5C2B-499F-A1EB-117021E71B59}"/>
            </c:ext>
          </c:extLst>
        </c:ser>
        <c:ser>
          <c:idx val="2"/>
          <c:order val="2"/>
          <c:tx>
            <c:strRef>
              <c:f>Cotations_cereales!$C$47</c:f>
              <c:strCache>
                <c:ptCount val="1"/>
                <c:pt idx="0">
                  <c:v>2024-2025</c:v>
                </c:pt>
              </c:strCache>
            </c:strRef>
          </c:tx>
          <c:spPr>
            <a:ln w="25400">
              <a:solidFill>
                <a:srgbClr val="663300"/>
              </a:solidFill>
              <a:prstDash val="solid"/>
            </a:ln>
          </c:spPr>
          <c:marker>
            <c:symbol val="none"/>
          </c:marker>
          <c:cat>
            <c:strRef>
              <c:f>Cotations_cereales!$A$48:$A$59</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Cotations_cereales!$C$48:$C$59</c:f>
              <c:numCache>
                <c:formatCode>0.00</c:formatCode>
                <c:ptCount val="12"/>
                <c:pt idx="0">
                  <c:v>211.89</c:v>
                </c:pt>
                <c:pt idx="1">
                  <c:v>204.28</c:v>
                </c:pt>
                <c:pt idx="2">
                  <c:v>205.76</c:v>
                </c:pt>
                <c:pt idx="3">
                  <c:v>213.61</c:v>
                </c:pt>
                <c:pt idx="4">
                  <c:v>207.32</c:v>
                </c:pt>
                <c:pt idx="5">
                  <c:v>206.61</c:v>
                </c:pt>
                <c:pt idx="6">
                  <c:v>213.9</c:v>
                </c:pt>
                <c:pt idx="7">
                  <c:v>214.91</c:v>
                </c:pt>
                <c:pt idx="8">
                  <c:v>209.07</c:v>
                </c:pt>
                <c:pt idx="9">
                  <c:v>203.54</c:v>
                </c:pt>
                <c:pt idx="10">
                  <c:v>194.41</c:v>
                </c:pt>
                <c:pt idx="11">
                  <c:v>187.85</c:v>
                </c:pt>
              </c:numCache>
            </c:numRef>
          </c:val>
          <c:smooth val="0"/>
          <c:extLst>
            <c:ext xmlns:c16="http://schemas.microsoft.com/office/drawing/2014/chart" uri="{C3380CC4-5D6E-409C-BE32-E72D297353CC}">
              <c16:uniqueId val="{00000002-5C2B-499F-A1EB-117021E71B59}"/>
            </c:ext>
          </c:extLst>
        </c:ser>
        <c:dLbls>
          <c:showLegendKey val="0"/>
          <c:showVal val="0"/>
          <c:showCatName val="0"/>
          <c:showSerName val="0"/>
          <c:showPercent val="0"/>
          <c:showBubbleSize val="0"/>
        </c:dLbls>
        <c:smooth val="0"/>
        <c:axId val="1945079823"/>
        <c:axId val="1"/>
      </c:lineChart>
      <c:catAx>
        <c:axId val="1945079823"/>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9.3086230074899162E-2"/>
              <c:y val="7.3403762029746286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400"/>
          <c:min val="5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945079823"/>
        <c:crossesAt val="1"/>
        <c:crossBetween val="midCat"/>
        <c:majorUnit val="50"/>
      </c:valAx>
      <c:spPr>
        <a:noFill/>
        <a:ln w="3175">
          <a:solidFill>
            <a:srgbClr val="B3B3B3"/>
          </a:solidFill>
          <a:prstDash val="solid"/>
        </a:ln>
      </c:spPr>
    </c:plotArea>
    <c:legend>
      <c:legendPos val="b"/>
      <c:overlay val="0"/>
      <c:spPr>
        <a:no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Évolution des cotations de blé dur</a:t>
            </a:r>
          </a:p>
        </c:rich>
      </c:tx>
      <c:layout>
        <c:manualLayout>
          <c:xMode val="edge"/>
          <c:yMode val="edge"/>
          <c:x val="0.25715073287071993"/>
          <c:y val="3.1747361367063159E-2"/>
        </c:manualLayout>
      </c:layout>
      <c:overlay val="0"/>
      <c:spPr>
        <a:noFill/>
        <a:ln w="25400">
          <a:noFill/>
        </a:ln>
      </c:spPr>
    </c:title>
    <c:autoTitleDeleted val="0"/>
    <c:plotArea>
      <c:layout>
        <c:manualLayout>
          <c:layoutTarget val="inner"/>
          <c:xMode val="edge"/>
          <c:yMode val="edge"/>
          <c:x val="0.12296875989950053"/>
          <c:y val="0.18827799073353596"/>
          <c:w val="0.78660970671847208"/>
          <c:h val="0.5123631873799509"/>
        </c:manualLayout>
      </c:layout>
      <c:lineChart>
        <c:grouping val="standard"/>
        <c:varyColors val="0"/>
        <c:ser>
          <c:idx val="0"/>
          <c:order val="0"/>
          <c:tx>
            <c:strRef>
              <c:f>Cotations_cereales!$B$29</c:f>
              <c:strCache>
                <c:ptCount val="1"/>
                <c:pt idx="0">
                  <c:v>Moyenne 2020-2024</c:v>
                </c:pt>
              </c:strCache>
            </c:strRef>
          </c:tx>
          <c:spPr>
            <a:ln w="25400">
              <a:solidFill>
                <a:srgbClr val="FFD320"/>
              </a:solidFill>
              <a:prstDash val="sysDash"/>
            </a:ln>
          </c:spPr>
          <c:marker>
            <c:symbol val="none"/>
          </c:marker>
          <c:cat>
            <c:strRef>
              <c:f>Cotations_cereales!$A$30:$A$41</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Cotations_cereales!$B$30:$B$41</c:f>
              <c:numCache>
                <c:formatCode>0.00</c:formatCode>
                <c:ptCount val="12"/>
                <c:pt idx="0">
                  <c:v>313.39999999999998</c:v>
                </c:pt>
                <c:pt idx="1">
                  <c:v>341.71</c:v>
                </c:pt>
                <c:pt idx="2">
                  <c:v>393.93</c:v>
                </c:pt>
                <c:pt idx="3">
                  <c:v>388.27</c:v>
                </c:pt>
                <c:pt idx="4">
                  <c:v>387.94</c:v>
                </c:pt>
                <c:pt idx="5">
                  <c:v>394.62</c:v>
                </c:pt>
                <c:pt idx="6">
                  <c:v>380.86</c:v>
                </c:pt>
                <c:pt idx="7">
                  <c:v>343.04</c:v>
                </c:pt>
                <c:pt idx="8">
                  <c:v>371.03</c:v>
                </c:pt>
                <c:pt idx="9">
                  <c:v>353.51</c:v>
                </c:pt>
                <c:pt idx="10">
                  <c:v>328.58</c:v>
                </c:pt>
                <c:pt idx="11">
                  <c:v>400.37</c:v>
                </c:pt>
              </c:numCache>
            </c:numRef>
          </c:val>
          <c:smooth val="0"/>
          <c:extLst>
            <c:ext xmlns:c16="http://schemas.microsoft.com/office/drawing/2014/chart" uri="{C3380CC4-5D6E-409C-BE32-E72D297353CC}">
              <c16:uniqueId val="{00000000-3C08-4EF3-95CE-C4E96C77DFBD}"/>
            </c:ext>
          </c:extLst>
        </c:ser>
        <c:ser>
          <c:idx val="1"/>
          <c:order val="1"/>
          <c:tx>
            <c:strRef>
              <c:f>Cotations_cereales!$D$29</c:f>
              <c:strCache>
                <c:ptCount val="1"/>
                <c:pt idx="0">
                  <c:v>2025-2026</c:v>
                </c:pt>
              </c:strCache>
            </c:strRef>
          </c:tx>
          <c:spPr>
            <a:ln w="25400">
              <a:solidFill>
                <a:srgbClr val="EB613D"/>
              </a:solidFill>
              <a:prstDash val="solid"/>
            </a:ln>
          </c:spPr>
          <c:marker>
            <c:symbol val="none"/>
          </c:marker>
          <c:cat>
            <c:strRef>
              <c:f>Cotations_cereales!$A$30:$A$41</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Cotations_cereales!$D$30:$D$41</c:f>
              <c:numCache>
                <c:formatCode>0.00</c:formatCode>
                <c:ptCount val="12"/>
                <c:pt idx="0">
                  <c:v>277.5</c:v>
                </c:pt>
                <c:pt idx="1">
                  <c:v>279.29000000000002</c:v>
                </c:pt>
                <c:pt idx="2">
                  <c:v>270.01</c:v>
                </c:pt>
                <c:pt idx="3">
                  <c:v>253.55</c:v>
                </c:pt>
              </c:numCache>
            </c:numRef>
          </c:val>
          <c:smooth val="0"/>
          <c:extLst>
            <c:ext xmlns:c16="http://schemas.microsoft.com/office/drawing/2014/chart" uri="{C3380CC4-5D6E-409C-BE32-E72D297353CC}">
              <c16:uniqueId val="{00000001-3C08-4EF3-95CE-C4E96C77DFBD}"/>
            </c:ext>
          </c:extLst>
        </c:ser>
        <c:ser>
          <c:idx val="2"/>
          <c:order val="2"/>
          <c:tx>
            <c:strRef>
              <c:f>Cotations_cereales!$C$29</c:f>
              <c:strCache>
                <c:ptCount val="1"/>
                <c:pt idx="0">
                  <c:v>2024-2025</c:v>
                </c:pt>
              </c:strCache>
            </c:strRef>
          </c:tx>
          <c:spPr>
            <a:ln w="25400">
              <a:solidFill>
                <a:srgbClr val="663300"/>
              </a:solidFill>
              <a:prstDash val="solid"/>
            </a:ln>
          </c:spPr>
          <c:marker>
            <c:symbol val="none"/>
          </c:marker>
          <c:cat>
            <c:strRef>
              <c:f>Cotations_cereales!$A$30:$A$41</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Cotations_cereales!$C$30:$C$41</c:f>
              <c:numCache>
                <c:formatCode>0.00</c:formatCode>
                <c:ptCount val="12"/>
                <c:pt idx="0">
                  <c:v>297.94</c:v>
                </c:pt>
                <c:pt idx="1">
                  <c:v>270</c:v>
                </c:pt>
                <c:pt idx="2">
                  <c:v>292.67</c:v>
                </c:pt>
                <c:pt idx="3">
                  <c:v>299.23</c:v>
                </c:pt>
                <c:pt idx="4">
                  <c:v>303.92</c:v>
                </c:pt>
                <c:pt idx="5">
                  <c:v>297.5</c:v>
                </c:pt>
                <c:pt idx="6">
                  <c:v>299.56</c:v>
                </c:pt>
                <c:pt idx="7">
                  <c:v>302.64</c:v>
                </c:pt>
                <c:pt idx="8">
                  <c:v>303.32</c:v>
                </c:pt>
                <c:pt idx="9">
                  <c:v>293.25</c:v>
                </c:pt>
                <c:pt idx="11">
                  <c:v>286.3</c:v>
                </c:pt>
              </c:numCache>
            </c:numRef>
          </c:val>
          <c:smooth val="0"/>
          <c:extLst>
            <c:ext xmlns:c16="http://schemas.microsoft.com/office/drawing/2014/chart" uri="{C3380CC4-5D6E-409C-BE32-E72D297353CC}">
              <c16:uniqueId val="{00000002-3C08-4EF3-95CE-C4E96C77DFBD}"/>
            </c:ext>
          </c:extLst>
        </c:ser>
        <c:dLbls>
          <c:showLegendKey val="0"/>
          <c:showVal val="0"/>
          <c:showCatName val="0"/>
          <c:showSerName val="0"/>
          <c:showPercent val="0"/>
          <c:showBubbleSize val="0"/>
        </c:dLbls>
        <c:smooth val="0"/>
        <c:axId val="1945082735"/>
        <c:axId val="1"/>
      </c:lineChart>
      <c:catAx>
        <c:axId val="1945082735"/>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5.8731128928518644E-2"/>
              <c:y val="6.356333117934726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600"/>
          <c:min val="5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945082735"/>
        <c:crossesAt val="1"/>
        <c:crossBetween val="midCat"/>
        <c:majorUnit val="100"/>
      </c:valAx>
      <c:spPr>
        <a:noFill/>
        <a:ln w="3175">
          <a:solidFill>
            <a:srgbClr val="B3B3B3"/>
          </a:solidFill>
          <a:prstDash val="solid"/>
        </a:ln>
      </c:spPr>
    </c:plotArea>
    <c:legend>
      <c:legendPos val="b"/>
      <c:overlay val="0"/>
      <c:spPr>
        <a:no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Evolution des cotations de colza</a:t>
            </a:r>
          </a:p>
        </c:rich>
      </c:tx>
      <c:layout>
        <c:manualLayout>
          <c:xMode val="edge"/>
          <c:yMode val="edge"/>
          <c:x val="0.24208697426541195"/>
          <c:y val="4.1883374775521481E-2"/>
        </c:manualLayout>
      </c:layout>
      <c:overlay val="0"/>
      <c:spPr>
        <a:noFill/>
        <a:ln w="25400">
          <a:noFill/>
        </a:ln>
      </c:spPr>
    </c:title>
    <c:autoTitleDeleted val="0"/>
    <c:plotArea>
      <c:layout>
        <c:manualLayout>
          <c:layoutTarget val="inner"/>
          <c:xMode val="edge"/>
          <c:yMode val="edge"/>
          <c:x val="0.13893549680693928"/>
          <c:y val="0.18775867342549726"/>
          <c:w val="0.78475682205600306"/>
          <c:h val="0.52289303467697268"/>
        </c:manualLayout>
      </c:layout>
      <c:lineChart>
        <c:grouping val="standard"/>
        <c:varyColors val="0"/>
        <c:ser>
          <c:idx val="0"/>
          <c:order val="0"/>
          <c:tx>
            <c:strRef>
              <c:f>Cotations_oleoproteagineux!$B$9</c:f>
              <c:strCache>
                <c:ptCount val="1"/>
                <c:pt idx="0">
                  <c:v>Moyenne 2020-2024</c:v>
                </c:pt>
              </c:strCache>
            </c:strRef>
          </c:tx>
          <c:spPr>
            <a:ln w="25400">
              <a:solidFill>
                <a:srgbClr val="FFD320"/>
              </a:solidFill>
              <a:prstDash val="sysDash"/>
            </a:ln>
          </c:spPr>
          <c:marker>
            <c:symbol val="none"/>
          </c:marker>
          <c:cat>
            <c:strRef>
              <c:extLst>
                <c:ext xmlns:c15="http://schemas.microsoft.com/office/drawing/2012/chart" uri="{02D57815-91ED-43cb-92C2-25804820EDAC}">
                  <c15:fullRef>
                    <c15:sqref>Cotations_oleoproteagineux!$A$10:$A$21</c15:sqref>
                  </c15:fullRef>
                </c:ext>
              </c:extLst>
              <c:f>Cotations_oleoproteagineux!$A$11:$A$21</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Cotations_oleoproteagineux!$B$10:$B$21</c15:sqref>
                  </c15:fullRef>
                </c:ext>
              </c:extLst>
              <c:f>Cotations_oleoproteagineux!$B$11:$B$21</c:f>
              <c:numCache>
                <c:formatCode>0.00</c:formatCode>
                <c:ptCount val="11"/>
                <c:pt idx="0">
                  <c:v>496.23333333333341</c:v>
                </c:pt>
                <c:pt idx="1">
                  <c:v>503.12749999999994</c:v>
                </c:pt>
                <c:pt idx="2">
                  <c:v>524.33999999999992</c:v>
                </c:pt>
                <c:pt idx="3">
                  <c:v>536.98333333333335</c:v>
                </c:pt>
                <c:pt idx="4">
                  <c:v>523.6</c:v>
                </c:pt>
                <c:pt idx="5">
                  <c:v>534.125</c:v>
                </c:pt>
                <c:pt idx="6">
                  <c:v>533.91999999999996</c:v>
                </c:pt>
                <c:pt idx="7">
                  <c:v>564.61</c:v>
                </c:pt>
                <c:pt idx="8">
                  <c:v>575.15</c:v>
                </c:pt>
                <c:pt idx="9">
                  <c:v>549.03333333333342</c:v>
                </c:pt>
                <c:pt idx="10">
                  <c:v>524.39833333333331</c:v>
                </c:pt>
              </c:numCache>
            </c:numRef>
          </c:val>
          <c:smooth val="0"/>
          <c:extLst>
            <c:ext xmlns:c16="http://schemas.microsoft.com/office/drawing/2014/chart" uri="{C3380CC4-5D6E-409C-BE32-E72D297353CC}">
              <c16:uniqueId val="{00000000-9E64-4B66-B6E1-2027BC3A6402}"/>
            </c:ext>
          </c:extLst>
        </c:ser>
        <c:ser>
          <c:idx val="1"/>
          <c:order val="1"/>
          <c:tx>
            <c:strRef>
              <c:f>Cotations_oleoproteagineux!$C$9</c:f>
              <c:strCache>
                <c:ptCount val="1"/>
                <c:pt idx="0">
                  <c:v>2024-2025</c:v>
                </c:pt>
              </c:strCache>
            </c:strRef>
          </c:tx>
          <c:spPr>
            <a:ln w="25400">
              <a:solidFill>
                <a:schemeClr val="tx1"/>
              </a:solidFill>
              <a:prstDash val="solid"/>
            </a:ln>
          </c:spPr>
          <c:marker>
            <c:symbol val="none"/>
          </c:marker>
          <c:cat>
            <c:strRef>
              <c:extLst>
                <c:ext xmlns:c15="http://schemas.microsoft.com/office/drawing/2012/chart" uri="{02D57815-91ED-43cb-92C2-25804820EDAC}">
                  <c15:fullRef>
                    <c15:sqref>Cotations_oleoproteagineux!$A$10:$A$21</c15:sqref>
                  </c15:fullRef>
                </c:ext>
              </c:extLst>
              <c:f>Cotations_oleoproteagineux!$A$11:$A$21</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Cotations_oleoproteagineux!$C$10:$C$21</c15:sqref>
                  </c15:fullRef>
                </c:ext>
              </c:extLst>
              <c:f>Cotations_oleoproteagineux!$C$11:$C$21</c:f>
              <c:numCache>
                <c:formatCode>0.00</c:formatCode>
                <c:ptCount val="11"/>
                <c:pt idx="0">
                  <c:v>461.5</c:v>
                </c:pt>
                <c:pt idx="1">
                  <c:v>469.81</c:v>
                </c:pt>
                <c:pt idx="2">
                  <c:v>498.2</c:v>
                </c:pt>
                <c:pt idx="3">
                  <c:v>520.38</c:v>
                </c:pt>
                <c:pt idx="4">
                  <c:v>522.33333333333337</c:v>
                </c:pt>
                <c:pt idx="5">
                  <c:v>525.625</c:v>
                </c:pt>
                <c:pt idx="6">
                  <c:v>523.25</c:v>
                </c:pt>
                <c:pt idx="7">
                  <c:v>493.75</c:v>
                </c:pt>
                <c:pt idx="8">
                  <c:v>493.875</c:v>
                </c:pt>
                <c:pt idx="9">
                  <c:v>483</c:v>
                </c:pt>
                <c:pt idx="10">
                  <c:v>475.63</c:v>
                </c:pt>
              </c:numCache>
            </c:numRef>
          </c:val>
          <c:smooth val="0"/>
          <c:extLst>
            <c:ext xmlns:c16="http://schemas.microsoft.com/office/drawing/2014/chart" uri="{C3380CC4-5D6E-409C-BE32-E72D297353CC}">
              <c16:uniqueId val="{00000001-9E64-4B66-B6E1-2027BC3A6402}"/>
            </c:ext>
          </c:extLst>
        </c:ser>
        <c:ser>
          <c:idx val="2"/>
          <c:order val="2"/>
          <c:tx>
            <c:strRef>
              <c:f>Cotations_oleoproteagineux!$D$9</c:f>
              <c:strCache>
                <c:ptCount val="1"/>
                <c:pt idx="0">
                  <c:v>2025-2026</c:v>
                </c:pt>
              </c:strCache>
            </c:strRef>
          </c:tx>
          <c:spPr>
            <a:ln w="25400">
              <a:solidFill>
                <a:srgbClr val="FF0000"/>
              </a:solidFill>
              <a:prstDash val="solid"/>
            </a:ln>
          </c:spPr>
          <c:marker>
            <c:symbol val="none"/>
          </c:marker>
          <c:cat>
            <c:strRef>
              <c:extLst>
                <c:ext xmlns:c15="http://schemas.microsoft.com/office/drawing/2012/chart" uri="{02D57815-91ED-43cb-92C2-25804820EDAC}">
                  <c15:fullRef>
                    <c15:sqref>Cotations_oleoproteagineux!$A$10:$A$21</c15:sqref>
                  </c15:fullRef>
                </c:ext>
              </c:extLst>
              <c:f>Cotations_oleoproteagineux!$A$11:$A$21</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Cotations_oleoproteagineux!$D$10:$D$21</c15:sqref>
                  </c15:fullRef>
                </c:ext>
              </c:extLst>
              <c:f>Cotations_oleoproteagineux!$D$11:$D$21</c:f>
              <c:numCache>
                <c:formatCode>0.00</c:formatCode>
                <c:ptCount val="11"/>
                <c:pt idx="0">
                  <c:v>464.67</c:v>
                </c:pt>
                <c:pt idx="1">
                  <c:v>461.25</c:v>
                </c:pt>
                <c:pt idx="2">
                  <c:v>463.8</c:v>
                </c:pt>
              </c:numCache>
            </c:numRef>
          </c:val>
          <c:smooth val="0"/>
          <c:extLst>
            <c:ext xmlns:c16="http://schemas.microsoft.com/office/drawing/2014/chart" uri="{C3380CC4-5D6E-409C-BE32-E72D297353CC}">
              <c16:uniqueId val="{00000002-9E64-4B66-B6E1-2027BC3A6402}"/>
            </c:ext>
          </c:extLst>
        </c:ser>
        <c:dLbls>
          <c:showLegendKey val="0"/>
          <c:showVal val="0"/>
          <c:showCatName val="0"/>
          <c:showSerName val="0"/>
          <c:showPercent val="0"/>
          <c:showBubbleSize val="0"/>
        </c:dLbls>
        <c:smooth val="0"/>
        <c:axId val="1866331599"/>
        <c:axId val="1"/>
      </c:lineChart>
      <c:catAx>
        <c:axId val="1866331599"/>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7.0792722937071881E-2"/>
              <c:y val="5.9486375880646494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1100"/>
          <c:min val="30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866331599"/>
        <c:crossesAt val="1"/>
        <c:crossBetween val="midCat"/>
        <c:majorUnit val="200"/>
      </c:valAx>
      <c:spPr>
        <a:noFill/>
        <a:ln w="3175">
          <a:solidFill>
            <a:srgbClr val="B3B3B3"/>
          </a:solidFill>
          <a:prstDash val="solid"/>
        </a:ln>
      </c:spPr>
    </c:plotArea>
    <c:legend>
      <c:legendPos val="r"/>
      <c:layout>
        <c:manualLayout>
          <c:xMode val="edge"/>
          <c:yMode val="edge"/>
          <c:x val="0.10881544436724609"/>
          <c:y val="0.86322133100982901"/>
          <c:w val="0.80852814240153048"/>
          <c:h val="0.13677866899017102"/>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Evolution des cotations de tournesol</a:t>
            </a:r>
          </a:p>
        </c:rich>
      </c:tx>
      <c:layout>
        <c:manualLayout>
          <c:xMode val="edge"/>
          <c:yMode val="edge"/>
          <c:x val="0.24208697426541195"/>
          <c:y val="4.1883374775521481E-2"/>
        </c:manualLayout>
      </c:layout>
      <c:overlay val="0"/>
      <c:spPr>
        <a:noFill/>
        <a:ln w="25400">
          <a:noFill/>
        </a:ln>
      </c:spPr>
    </c:title>
    <c:autoTitleDeleted val="0"/>
    <c:plotArea>
      <c:layout>
        <c:manualLayout>
          <c:layoutTarget val="inner"/>
          <c:xMode val="edge"/>
          <c:yMode val="edge"/>
          <c:x val="0.13893554631730795"/>
          <c:y val="0.19281680653713371"/>
          <c:w val="0.78475682205600306"/>
          <c:h val="0.52289303467697268"/>
        </c:manualLayout>
      </c:layout>
      <c:lineChart>
        <c:grouping val="standard"/>
        <c:varyColors val="0"/>
        <c:ser>
          <c:idx val="0"/>
          <c:order val="0"/>
          <c:tx>
            <c:strRef>
              <c:f>Cotations_oleoproteagineux!$B$26</c:f>
              <c:strCache>
                <c:ptCount val="1"/>
                <c:pt idx="0">
                  <c:v>Moyenne 2020-2024</c:v>
                </c:pt>
              </c:strCache>
            </c:strRef>
          </c:tx>
          <c:spPr>
            <a:ln w="25400">
              <a:solidFill>
                <a:srgbClr val="FFD320"/>
              </a:solidFill>
              <a:prstDash val="sysDash"/>
            </a:ln>
          </c:spPr>
          <c:marker>
            <c:symbol val="none"/>
          </c:marker>
          <c:cat>
            <c:strRef>
              <c:extLst>
                <c:ext xmlns:c15="http://schemas.microsoft.com/office/drawing/2012/chart" uri="{02D57815-91ED-43cb-92C2-25804820EDAC}">
                  <c15:fullRef>
                    <c15:sqref>Cotations_oleoproteagineux!$A$27:$A$38</c15:sqref>
                  </c15:fullRef>
                </c:ext>
              </c:extLst>
              <c:f>Cotations_oleoproteagineux!$A$28:$A$38</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Cotations_oleoproteagineux!$B$27:$B$38</c15:sqref>
                  </c15:fullRef>
                </c:ext>
              </c:extLst>
              <c:f>Cotations_oleoproteagineux!$B$28:$B$38</c:f>
              <c:numCache>
                <c:formatCode>0.00</c:formatCode>
                <c:ptCount val="11"/>
                <c:pt idx="0">
                  <c:v>479.16666666666669</c:v>
                </c:pt>
                <c:pt idx="1">
                  <c:v>476.97500000000002</c:v>
                </c:pt>
                <c:pt idx="2">
                  <c:v>519.02499999999998</c:v>
                </c:pt>
                <c:pt idx="3">
                  <c:v>533.33333333333326</c:v>
                </c:pt>
                <c:pt idx="4">
                  <c:v>514.5</c:v>
                </c:pt>
                <c:pt idx="5">
                  <c:v>520.25</c:v>
                </c:pt>
                <c:pt idx="6">
                  <c:v>529.1</c:v>
                </c:pt>
                <c:pt idx="7">
                  <c:v>575.8125</c:v>
                </c:pt>
                <c:pt idx="8">
                  <c:v>526.65</c:v>
                </c:pt>
                <c:pt idx="9">
                  <c:v>523.66666666666674</c:v>
                </c:pt>
                <c:pt idx="10">
                  <c:v>493.18333333333339</c:v>
                </c:pt>
              </c:numCache>
            </c:numRef>
          </c:val>
          <c:smooth val="0"/>
          <c:extLst>
            <c:ext xmlns:c16="http://schemas.microsoft.com/office/drawing/2014/chart" uri="{C3380CC4-5D6E-409C-BE32-E72D297353CC}">
              <c16:uniqueId val="{00000000-D456-4276-8B40-4489D88CA608}"/>
            </c:ext>
          </c:extLst>
        </c:ser>
        <c:ser>
          <c:idx val="1"/>
          <c:order val="1"/>
          <c:tx>
            <c:strRef>
              <c:f>Cotations_oleoproteagineux!$C$26</c:f>
              <c:strCache>
                <c:ptCount val="1"/>
                <c:pt idx="0">
                  <c:v>2024-2025</c:v>
                </c:pt>
              </c:strCache>
            </c:strRef>
          </c:tx>
          <c:spPr>
            <a:ln w="25400">
              <a:solidFill>
                <a:schemeClr val="tx1"/>
              </a:solidFill>
              <a:prstDash val="solid"/>
            </a:ln>
          </c:spPr>
          <c:marker>
            <c:symbol val="none"/>
          </c:marker>
          <c:cat>
            <c:strRef>
              <c:extLst>
                <c:ext xmlns:c15="http://schemas.microsoft.com/office/drawing/2012/chart" uri="{02D57815-91ED-43cb-92C2-25804820EDAC}">
                  <c15:fullRef>
                    <c15:sqref>Cotations_oleoproteagineux!$A$27:$A$38</c15:sqref>
                  </c15:fullRef>
                </c:ext>
              </c:extLst>
              <c:f>Cotations_oleoproteagineux!$A$28:$A$38</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Cotations_oleoproteagineux!$C$27:$C$38</c15:sqref>
                  </c15:fullRef>
                </c:ext>
              </c:extLst>
              <c:f>Cotations_oleoproteagineux!$C$28:$C$38</c:f>
              <c:numCache>
                <c:formatCode>0.00</c:formatCode>
                <c:ptCount val="11"/>
                <c:pt idx="0">
                  <c:v>464.17</c:v>
                </c:pt>
                <c:pt idx="1">
                  <c:v>467.5</c:v>
                </c:pt>
                <c:pt idx="2">
                  <c:v>536.25</c:v>
                </c:pt>
                <c:pt idx="3">
                  <c:v>553.75</c:v>
                </c:pt>
                <c:pt idx="4">
                  <c:v>538.33333333333337</c:v>
                </c:pt>
                <c:pt idx="5">
                  <c:v>533.75</c:v>
                </c:pt>
                <c:pt idx="6">
                  <c:v>538.75</c:v>
                </c:pt>
                <c:pt idx="8">
                  <c:v>457.5</c:v>
                </c:pt>
                <c:pt idx="9">
                  <c:v>427.5</c:v>
                </c:pt>
                <c:pt idx="10">
                  <c:v>431.25</c:v>
                </c:pt>
              </c:numCache>
            </c:numRef>
          </c:val>
          <c:smooth val="0"/>
          <c:extLst>
            <c:ext xmlns:c16="http://schemas.microsoft.com/office/drawing/2014/chart" uri="{C3380CC4-5D6E-409C-BE32-E72D297353CC}">
              <c16:uniqueId val="{00000001-D456-4276-8B40-4489D88CA608}"/>
            </c:ext>
          </c:extLst>
        </c:ser>
        <c:ser>
          <c:idx val="2"/>
          <c:order val="2"/>
          <c:tx>
            <c:strRef>
              <c:f>Cotations_oleoproteagineux!$D$26</c:f>
              <c:strCache>
                <c:ptCount val="1"/>
                <c:pt idx="0">
                  <c:v>2025-2026</c:v>
                </c:pt>
              </c:strCache>
            </c:strRef>
          </c:tx>
          <c:spPr>
            <a:ln w="25400">
              <a:solidFill>
                <a:srgbClr val="FF0000"/>
              </a:solidFill>
              <a:prstDash val="solid"/>
            </a:ln>
          </c:spPr>
          <c:marker>
            <c:symbol val="none"/>
          </c:marker>
          <c:cat>
            <c:strRef>
              <c:extLst>
                <c:ext xmlns:c15="http://schemas.microsoft.com/office/drawing/2012/chart" uri="{02D57815-91ED-43cb-92C2-25804820EDAC}">
                  <c15:fullRef>
                    <c15:sqref>Cotations_oleoproteagineux!$A$27:$A$38</c15:sqref>
                  </c15:fullRef>
                </c:ext>
              </c:extLst>
              <c:f>Cotations_oleoproteagineux!$A$28:$A$38</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Cotations_oleoproteagineux!$D$27:$D$38</c15:sqref>
                  </c15:fullRef>
                </c:ext>
              </c:extLst>
              <c:f>Cotations_oleoproteagineux!$D$28:$D$38</c:f>
              <c:numCache>
                <c:formatCode>0.00</c:formatCode>
                <c:ptCount val="11"/>
                <c:pt idx="0">
                  <c:v>480</c:v>
                </c:pt>
                <c:pt idx="1">
                  <c:v>488.75</c:v>
                </c:pt>
                <c:pt idx="2">
                  <c:v>500</c:v>
                </c:pt>
              </c:numCache>
            </c:numRef>
          </c:val>
          <c:smooth val="0"/>
          <c:extLst>
            <c:ext xmlns:c16="http://schemas.microsoft.com/office/drawing/2014/chart" uri="{C3380CC4-5D6E-409C-BE32-E72D297353CC}">
              <c16:uniqueId val="{00000002-D456-4276-8B40-4489D88CA608}"/>
            </c:ext>
          </c:extLst>
        </c:ser>
        <c:dLbls>
          <c:showLegendKey val="0"/>
          <c:showVal val="0"/>
          <c:showCatName val="0"/>
          <c:showSerName val="0"/>
          <c:showPercent val="0"/>
          <c:showBubbleSize val="0"/>
        </c:dLbls>
        <c:smooth val="0"/>
        <c:axId val="1866331599"/>
        <c:axId val="1"/>
      </c:lineChart>
      <c:catAx>
        <c:axId val="1866331599"/>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7.0792722937071881E-2"/>
              <c:y val="5.9486375880646494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900"/>
          <c:min val="30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866331599"/>
        <c:crossesAt val="1"/>
        <c:crossBetween val="midCat"/>
        <c:majorUnit val="200"/>
      </c:valAx>
      <c:spPr>
        <a:noFill/>
        <a:ln w="3175">
          <a:solidFill>
            <a:srgbClr val="B3B3B3"/>
          </a:solidFill>
          <a:prstDash val="solid"/>
        </a:ln>
      </c:spPr>
    </c:plotArea>
    <c:legend>
      <c:legendPos val="b"/>
      <c:overlay val="0"/>
      <c:spPr>
        <a:no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Evolution des surfaces de blé en Occitanie</a:t>
            </a:r>
          </a:p>
        </c:rich>
      </c:tx>
      <c:overlay val="0"/>
      <c:spPr>
        <a:noFill/>
        <a:ln w="25400">
          <a:noFill/>
        </a:ln>
      </c:spPr>
    </c:title>
    <c:autoTitleDeleted val="0"/>
    <c:plotArea>
      <c:layout>
        <c:manualLayout>
          <c:layoutTarget val="inner"/>
          <c:xMode val="edge"/>
          <c:yMode val="edge"/>
          <c:x val="0.14242743158182183"/>
          <c:y val="0.1156879643775871"/>
          <c:w val="0.83852335841565995"/>
          <c:h val="0.60684928376490255"/>
        </c:manualLayout>
      </c:layout>
      <c:lineChart>
        <c:grouping val="standard"/>
        <c:varyColors val="0"/>
        <c:ser>
          <c:idx val="0"/>
          <c:order val="0"/>
          <c:tx>
            <c:strRef>
              <c:f>'Evol.sole-régionale_Blés'!$A$11</c:f>
              <c:strCache>
                <c:ptCount val="1"/>
                <c:pt idx="0">
                  <c:v>Blé tendre</c:v>
                </c:pt>
              </c:strCache>
            </c:strRef>
          </c:tx>
          <c:spPr>
            <a:ln w="25400">
              <a:solidFill>
                <a:srgbClr val="804C19"/>
              </a:solidFill>
              <a:prstDash val="solid"/>
            </a:ln>
          </c:spPr>
          <c:marker>
            <c:symbol val="none"/>
          </c:marker>
          <c:cat>
            <c:numRef>
              <c:f>'Evol.sole-régionale_Blés'!$B$10:$P$10</c:f>
              <c:numCache>
                <c:formatCode>yyyy</c:formatCode>
                <c:ptCount val="15"/>
                <c:pt idx="0">
                  <c:v>40179</c:v>
                </c:pt>
                <c:pt idx="1">
                  <c:v>40544</c:v>
                </c:pt>
                <c:pt idx="2">
                  <c:v>40909</c:v>
                </c:pt>
                <c:pt idx="3">
                  <c:v>41275</c:v>
                </c:pt>
                <c:pt idx="4">
                  <c:v>41640</c:v>
                </c:pt>
                <c:pt idx="5">
                  <c:v>42005</c:v>
                </c:pt>
                <c:pt idx="6">
                  <c:v>42370</c:v>
                </c:pt>
                <c:pt idx="7">
                  <c:v>42737</c:v>
                </c:pt>
                <c:pt idx="8">
                  <c:v>43103</c:v>
                </c:pt>
                <c:pt idx="9">
                  <c:v>43468</c:v>
                </c:pt>
                <c:pt idx="10">
                  <c:v>43832</c:v>
                </c:pt>
                <c:pt idx="11" formatCode="@">
                  <c:v>2021</c:v>
                </c:pt>
                <c:pt idx="12" formatCode="0">
                  <c:v>2022</c:v>
                </c:pt>
                <c:pt idx="13" formatCode="0">
                  <c:v>2023</c:v>
                </c:pt>
                <c:pt idx="14" formatCode="@">
                  <c:v>2024</c:v>
                </c:pt>
              </c:numCache>
            </c:numRef>
          </c:cat>
          <c:val>
            <c:numRef>
              <c:f>'Evol.sole-régionale_Blés'!$B$11:$P$11</c:f>
              <c:numCache>
                <c:formatCode>#\ ##0\ </c:formatCode>
                <c:ptCount val="15"/>
                <c:pt idx="0">
                  <c:v>239.19900000000001</c:v>
                </c:pt>
                <c:pt idx="1">
                  <c:v>243.29599999999999</c:v>
                </c:pt>
                <c:pt idx="2">
                  <c:v>258.57299999999998</c:v>
                </c:pt>
                <c:pt idx="3">
                  <c:v>285.07799999999997</c:v>
                </c:pt>
                <c:pt idx="4" formatCode="#,##0">
                  <c:v>296</c:v>
                </c:pt>
                <c:pt idx="5" formatCode="#,##0">
                  <c:v>294</c:v>
                </c:pt>
                <c:pt idx="6" formatCode="#,##0">
                  <c:v>278</c:v>
                </c:pt>
                <c:pt idx="7" formatCode="#,##0">
                  <c:v>265</c:v>
                </c:pt>
                <c:pt idx="8" formatCode="#,##0">
                  <c:v>268</c:v>
                </c:pt>
                <c:pt idx="9" formatCode="#,##0">
                  <c:v>287</c:v>
                </c:pt>
                <c:pt idx="10" formatCode="#,##0">
                  <c:v>222</c:v>
                </c:pt>
                <c:pt idx="11" formatCode="#,##0">
                  <c:v>277.5</c:v>
                </c:pt>
                <c:pt idx="12" formatCode="0">
                  <c:v>244</c:v>
                </c:pt>
                <c:pt idx="13" formatCode="0">
                  <c:v>268</c:v>
                </c:pt>
                <c:pt idx="14" formatCode="0">
                  <c:v>213</c:v>
                </c:pt>
              </c:numCache>
            </c:numRef>
          </c:val>
          <c:smooth val="0"/>
          <c:extLst>
            <c:ext xmlns:c16="http://schemas.microsoft.com/office/drawing/2014/chart" uri="{C3380CC4-5D6E-409C-BE32-E72D297353CC}">
              <c16:uniqueId val="{00000000-5A28-424E-8980-EF67D5BA615B}"/>
            </c:ext>
          </c:extLst>
        </c:ser>
        <c:ser>
          <c:idx val="1"/>
          <c:order val="1"/>
          <c:tx>
            <c:strRef>
              <c:f>'Evol.sole-régionale_Blés'!$A$12</c:f>
              <c:strCache>
                <c:ptCount val="1"/>
                <c:pt idx="0">
                  <c:v>Blé dur</c:v>
                </c:pt>
              </c:strCache>
            </c:strRef>
          </c:tx>
          <c:marker>
            <c:symbol val="none"/>
          </c:marker>
          <c:cat>
            <c:numRef>
              <c:f>'Evol.sole-régionale_Blés'!$B$10:$P$10</c:f>
              <c:numCache>
                <c:formatCode>yyyy</c:formatCode>
                <c:ptCount val="15"/>
                <c:pt idx="0">
                  <c:v>40179</c:v>
                </c:pt>
                <c:pt idx="1">
                  <c:v>40544</c:v>
                </c:pt>
                <c:pt idx="2">
                  <c:v>40909</c:v>
                </c:pt>
                <c:pt idx="3">
                  <c:v>41275</c:v>
                </c:pt>
                <c:pt idx="4">
                  <c:v>41640</c:v>
                </c:pt>
                <c:pt idx="5">
                  <c:v>42005</c:v>
                </c:pt>
                <c:pt idx="6">
                  <c:v>42370</c:v>
                </c:pt>
                <c:pt idx="7">
                  <c:v>42737</c:v>
                </c:pt>
                <c:pt idx="8">
                  <c:v>43103</c:v>
                </c:pt>
                <c:pt idx="9">
                  <c:v>43468</c:v>
                </c:pt>
                <c:pt idx="10">
                  <c:v>43832</c:v>
                </c:pt>
                <c:pt idx="11" formatCode="@">
                  <c:v>2021</c:v>
                </c:pt>
                <c:pt idx="12" formatCode="0">
                  <c:v>2022</c:v>
                </c:pt>
                <c:pt idx="13" formatCode="0">
                  <c:v>2023</c:v>
                </c:pt>
                <c:pt idx="14" formatCode="@">
                  <c:v>2024</c:v>
                </c:pt>
              </c:numCache>
            </c:numRef>
          </c:cat>
          <c:val>
            <c:numRef>
              <c:f>'Evol.sole-régionale_Blés'!$B$12:$P$12</c:f>
              <c:numCache>
                <c:formatCode>#\ ##0\ </c:formatCode>
                <c:ptCount val="15"/>
                <c:pt idx="0">
                  <c:v>203.59700000000001</c:v>
                </c:pt>
                <c:pt idx="1">
                  <c:v>172.60400000000001</c:v>
                </c:pt>
                <c:pt idx="2">
                  <c:v>181.43700000000001</c:v>
                </c:pt>
                <c:pt idx="3">
                  <c:v>144.184</c:v>
                </c:pt>
                <c:pt idx="4" formatCode="#,##0">
                  <c:v>113.7</c:v>
                </c:pt>
                <c:pt idx="5" formatCode="#,##0">
                  <c:v>129</c:v>
                </c:pt>
                <c:pt idx="6" formatCode="#,##0">
                  <c:v>149</c:v>
                </c:pt>
                <c:pt idx="7" formatCode="#,##0">
                  <c:v>142</c:v>
                </c:pt>
                <c:pt idx="8" formatCode="#,##0">
                  <c:v>139</c:v>
                </c:pt>
                <c:pt idx="9" formatCode="#,##0">
                  <c:v>88</c:v>
                </c:pt>
                <c:pt idx="10" formatCode="#,##0">
                  <c:v>85</c:v>
                </c:pt>
                <c:pt idx="11" formatCode="#,##0">
                  <c:v>95.5</c:v>
                </c:pt>
                <c:pt idx="12" formatCode="0">
                  <c:v>85.4</c:v>
                </c:pt>
                <c:pt idx="13" formatCode="0">
                  <c:v>86</c:v>
                </c:pt>
                <c:pt idx="14" formatCode="0">
                  <c:v>76</c:v>
                </c:pt>
              </c:numCache>
            </c:numRef>
          </c:val>
          <c:smooth val="0"/>
          <c:extLst>
            <c:ext xmlns:c16="http://schemas.microsoft.com/office/drawing/2014/chart" uri="{C3380CC4-5D6E-409C-BE32-E72D297353CC}">
              <c16:uniqueId val="{00000001-5A28-424E-8980-EF67D5BA615B}"/>
            </c:ext>
          </c:extLst>
        </c:ser>
        <c:dLbls>
          <c:showLegendKey val="0"/>
          <c:showVal val="0"/>
          <c:showCatName val="0"/>
          <c:showSerName val="0"/>
          <c:showPercent val="0"/>
          <c:showBubbleSize val="0"/>
        </c:dLbls>
        <c:smooth val="0"/>
        <c:axId val="1945084399"/>
        <c:axId val="1"/>
      </c:lineChart>
      <c:catAx>
        <c:axId val="1945084399"/>
        <c:scaling>
          <c:orientation val="minMax"/>
        </c:scaling>
        <c:delete val="0"/>
        <c:axPos val="b"/>
        <c:numFmt formatCode="yyyy" sourceLinked="1"/>
        <c:majorTickMark val="out"/>
        <c:minorTickMark val="out"/>
        <c:tickLblPos val="nextTo"/>
        <c:spPr>
          <a:ln w="25400">
            <a:solidFill>
              <a:srgbClr val="B3B3B3"/>
            </a:solidFill>
            <a:prstDash val="solid"/>
          </a:ln>
        </c:spPr>
        <c:txPr>
          <a:bodyPr rot="-3660000" vert="horz"/>
          <a:lstStyle/>
          <a:p>
            <a:pPr>
              <a:defRPr sz="800" b="0" i="0" u="none" strike="noStrike" baseline="0">
                <a:solidFill>
                  <a:srgbClr val="000000"/>
                </a:solidFill>
                <a:latin typeface="Arial"/>
                <a:ea typeface="Arial"/>
                <a:cs typeface="Arial"/>
              </a:defRPr>
            </a:pPr>
            <a:endParaRPr lang="fr-FR"/>
          </a:p>
        </c:txPr>
        <c:crossAx val="1"/>
        <c:crossesAt val="0"/>
        <c:auto val="0"/>
        <c:lblAlgn val="ctr"/>
        <c:lblOffset val="100"/>
        <c:tickLblSkip val="1"/>
        <c:tickMarkSkip val="2"/>
        <c:noMultiLvlLbl val="1"/>
      </c:catAx>
      <c:valAx>
        <c:axId val="1"/>
        <c:scaling>
          <c:orientation val="minMax"/>
          <c:max val="350"/>
          <c:min val="50"/>
        </c:scaling>
        <c:delete val="0"/>
        <c:axPos val="l"/>
        <c:majorGridlines>
          <c:spPr>
            <a:ln w="25400">
              <a:solidFill>
                <a:srgbClr val="B3B3B3"/>
              </a:solidFill>
              <a:prstDash val="solid"/>
            </a:ln>
          </c:spPr>
        </c:majorGridlines>
        <c:title>
          <c:tx>
            <c:rich>
              <a:bodyPr/>
              <a:lstStyle/>
              <a:p>
                <a:pPr>
                  <a:defRPr/>
                </a:pPr>
                <a:r>
                  <a:rPr lang="en-US"/>
                  <a:t>Surface (Milliers d'hectares)</a:t>
                </a:r>
              </a:p>
            </c:rich>
          </c:tx>
          <c:overlay val="0"/>
          <c:spPr>
            <a:noFill/>
            <a:ln w="25400">
              <a:noFill/>
            </a:ln>
          </c:spPr>
        </c:title>
        <c:numFmt formatCode="#\ ##0\ "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945084399"/>
        <c:crosses val="autoZero"/>
        <c:crossBetween val="midCat"/>
        <c:majorUnit val="30"/>
        <c:minorUnit val="15"/>
      </c:valAx>
      <c:spPr>
        <a:noFill/>
        <a:ln w="3175">
          <a:solidFill>
            <a:srgbClr val="B3B3B3"/>
          </a:solidFill>
          <a:prstDash val="solid"/>
        </a:ln>
      </c:spPr>
    </c:plotArea>
    <c:legend>
      <c:legendPos val="r"/>
      <c:layout>
        <c:manualLayout>
          <c:xMode val="edge"/>
          <c:yMode val="edge"/>
          <c:x val="0"/>
          <c:y val="0.85243141249134902"/>
          <c:w val="0.20735485686304711"/>
          <c:h val="0.1467709119415169"/>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fr-FR"/>
        </a:p>
      </c:txPr>
    </c:legend>
    <c:plotVisOnly val="1"/>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381507583395973E-2"/>
          <c:y val="0.12422795875925961"/>
          <c:w val="0.86046597745183517"/>
          <c:h val="0.68014807420694634"/>
        </c:manualLayout>
      </c:layout>
      <c:barChart>
        <c:barDir val="col"/>
        <c:grouping val="clustered"/>
        <c:varyColors val="0"/>
        <c:ser>
          <c:idx val="0"/>
          <c:order val="0"/>
          <c:tx>
            <c:strRef>
              <c:f>'Evol.sole-régionale_Blés'!$A$54</c:f>
              <c:strCache>
                <c:ptCount val="1"/>
                <c:pt idx="0">
                  <c:v>Haute-Garonne </c:v>
                </c:pt>
              </c:strCache>
            </c:strRef>
          </c:tx>
          <c:spPr>
            <a:solidFill>
              <a:srgbClr val="FFD320"/>
            </a:solidFill>
            <a:ln w="25400">
              <a:noFill/>
            </a:ln>
          </c:spPr>
          <c:invertIfNegative val="0"/>
          <c:cat>
            <c:numRef>
              <c:f>'Evol.sole-régionale_Blés'!$B$51:$N$51</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'Evol.sole-régionale_Blés'!$B$54:$N$54</c:f>
              <c:numCache>
                <c:formatCode>#\ ##0\ </c:formatCode>
                <c:ptCount val="13"/>
                <c:pt idx="0">
                  <c:v>55.545000000000002</c:v>
                </c:pt>
                <c:pt idx="1">
                  <c:v>44.496000000000002</c:v>
                </c:pt>
                <c:pt idx="2">
                  <c:v>33.299999999999997</c:v>
                </c:pt>
                <c:pt idx="3">
                  <c:v>43</c:v>
                </c:pt>
                <c:pt idx="4">
                  <c:v>48</c:v>
                </c:pt>
                <c:pt idx="5">
                  <c:v>48</c:v>
                </c:pt>
                <c:pt idx="6">
                  <c:v>47</c:v>
                </c:pt>
                <c:pt idx="7">
                  <c:v>31</c:v>
                </c:pt>
                <c:pt idx="8">
                  <c:v>31</c:v>
                </c:pt>
                <c:pt idx="9">
                  <c:v>33</c:v>
                </c:pt>
                <c:pt idx="10">
                  <c:v>29</c:v>
                </c:pt>
                <c:pt idx="11">
                  <c:v>29</c:v>
                </c:pt>
                <c:pt idx="12">
                  <c:v>26</c:v>
                </c:pt>
              </c:numCache>
            </c:numRef>
          </c:val>
          <c:extLst>
            <c:ext xmlns:c16="http://schemas.microsoft.com/office/drawing/2014/chart" uri="{C3380CC4-5D6E-409C-BE32-E72D297353CC}">
              <c16:uniqueId val="{00000000-CD80-4761-BDF0-305BB6DEDC47}"/>
            </c:ext>
          </c:extLst>
        </c:ser>
        <c:ser>
          <c:idx val="1"/>
          <c:order val="1"/>
          <c:tx>
            <c:strRef>
              <c:f>'Evol.sole-régionale_Blés'!$A$55</c:f>
              <c:strCache>
                <c:ptCount val="1"/>
                <c:pt idx="0">
                  <c:v> Aude</c:v>
                </c:pt>
              </c:strCache>
            </c:strRef>
          </c:tx>
          <c:spPr>
            <a:solidFill>
              <a:srgbClr val="804C19"/>
            </a:solidFill>
            <a:ln w="25400">
              <a:noFill/>
            </a:ln>
          </c:spPr>
          <c:invertIfNegative val="0"/>
          <c:cat>
            <c:numRef>
              <c:f>'Evol.sole-régionale_Blés'!$B$51:$N$51</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'Evol.sole-régionale_Blés'!$B$55:$N$55</c:f>
              <c:numCache>
                <c:formatCode>#\ ##0\ </c:formatCode>
                <c:ptCount val="13"/>
                <c:pt idx="0">
                  <c:v>37.21</c:v>
                </c:pt>
                <c:pt idx="1">
                  <c:v>33.299999999999997</c:v>
                </c:pt>
                <c:pt idx="2">
                  <c:v>29.7</c:v>
                </c:pt>
                <c:pt idx="3">
                  <c:v>32</c:v>
                </c:pt>
                <c:pt idx="4">
                  <c:v>34</c:v>
                </c:pt>
                <c:pt idx="5">
                  <c:v>31</c:v>
                </c:pt>
                <c:pt idx="6">
                  <c:v>30</c:v>
                </c:pt>
                <c:pt idx="7">
                  <c:v>22</c:v>
                </c:pt>
                <c:pt idx="8">
                  <c:v>22</c:v>
                </c:pt>
                <c:pt idx="9">
                  <c:v>22</c:v>
                </c:pt>
                <c:pt idx="10">
                  <c:v>20</c:v>
                </c:pt>
                <c:pt idx="11">
                  <c:v>20</c:v>
                </c:pt>
                <c:pt idx="12">
                  <c:v>17</c:v>
                </c:pt>
              </c:numCache>
            </c:numRef>
          </c:val>
          <c:extLst>
            <c:ext xmlns:c16="http://schemas.microsoft.com/office/drawing/2014/chart" uri="{C3380CC4-5D6E-409C-BE32-E72D297353CC}">
              <c16:uniqueId val="{00000001-CD80-4761-BDF0-305BB6DEDC47}"/>
            </c:ext>
          </c:extLst>
        </c:ser>
        <c:ser>
          <c:idx val="2"/>
          <c:order val="2"/>
          <c:tx>
            <c:strRef>
              <c:f>'Evol.sole-régionale_Blés'!$A$56</c:f>
              <c:strCache>
                <c:ptCount val="1"/>
                <c:pt idx="0">
                  <c:v> Gers</c:v>
                </c:pt>
              </c:strCache>
            </c:strRef>
          </c:tx>
          <c:spPr>
            <a:solidFill>
              <a:srgbClr val="7F9900"/>
            </a:solidFill>
            <a:ln w="25400">
              <a:noFill/>
            </a:ln>
          </c:spPr>
          <c:invertIfNegative val="0"/>
          <c:cat>
            <c:numRef>
              <c:f>'Evol.sole-régionale_Blés'!$B$51:$N$51</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'Evol.sole-régionale_Blés'!$B$56:$N$56</c:f>
              <c:numCache>
                <c:formatCode>#\ ##0\ </c:formatCode>
                <c:ptCount val="13"/>
                <c:pt idx="0">
                  <c:v>29.943999999999999</c:v>
                </c:pt>
                <c:pt idx="1">
                  <c:v>19.977</c:v>
                </c:pt>
                <c:pt idx="2">
                  <c:v>10.9</c:v>
                </c:pt>
                <c:pt idx="3">
                  <c:v>15</c:v>
                </c:pt>
                <c:pt idx="4">
                  <c:v>18</c:v>
                </c:pt>
                <c:pt idx="5">
                  <c:v>17</c:v>
                </c:pt>
                <c:pt idx="6">
                  <c:v>18</c:v>
                </c:pt>
                <c:pt idx="7">
                  <c:v>8</c:v>
                </c:pt>
                <c:pt idx="8">
                  <c:v>9</c:v>
                </c:pt>
                <c:pt idx="9">
                  <c:v>11</c:v>
                </c:pt>
                <c:pt idx="10">
                  <c:v>11</c:v>
                </c:pt>
                <c:pt idx="11">
                  <c:v>12</c:v>
                </c:pt>
                <c:pt idx="12">
                  <c:v>10</c:v>
                </c:pt>
              </c:numCache>
            </c:numRef>
          </c:val>
          <c:extLst>
            <c:ext xmlns:c16="http://schemas.microsoft.com/office/drawing/2014/chart" uri="{C3380CC4-5D6E-409C-BE32-E72D297353CC}">
              <c16:uniqueId val="{00000002-CD80-4761-BDF0-305BB6DEDC47}"/>
            </c:ext>
          </c:extLst>
        </c:ser>
        <c:ser>
          <c:idx val="3"/>
          <c:order val="3"/>
          <c:tx>
            <c:strRef>
              <c:f>'Evol.sole-régionale_Blés'!$A$57</c:f>
              <c:strCache>
                <c:ptCount val="1"/>
                <c:pt idx="0">
                  <c:v>Gard</c:v>
                </c:pt>
              </c:strCache>
            </c:strRef>
          </c:tx>
          <c:spPr>
            <a:solidFill>
              <a:srgbClr val="4472C4"/>
            </a:solidFill>
            <a:ln w="25400">
              <a:noFill/>
            </a:ln>
          </c:spPr>
          <c:invertIfNegative val="0"/>
          <c:cat>
            <c:numRef>
              <c:f>'Evol.sole-régionale_Blés'!$B$51:$N$51</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'Evol.sole-régionale_Blés'!$B$57:$N$57</c:f>
              <c:numCache>
                <c:formatCode>#\ ##0\ </c:formatCode>
                <c:ptCount val="13"/>
                <c:pt idx="0">
                  <c:v>17.445</c:v>
                </c:pt>
                <c:pt idx="1">
                  <c:v>15.1</c:v>
                </c:pt>
                <c:pt idx="2">
                  <c:v>15.3</c:v>
                </c:pt>
                <c:pt idx="3">
                  <c:v>13</c:v>
                </c:pt>
                <c:pt idx="4">
                  <c:v>16</c:v>
                </c:pt>
                <c:pt idx="5">
                  <c:v>13</c:v>
                </c:pt>
                <c:pt idx="6">
                  <c:v>12</c:v>
                </c:pt>
                <c:pt idx="7">
                  <c:v>8</c:v>
                </c:pt>
                <c:pt idx="8">
                  <c:v>7</c:v>
                </c:pt>
                <c:pt idx="9">
                  <c:v>9</c:v>
                </c:pt>
                <c:pt idx="10">
                  <c:v>9</c:v>
                </c:pt>
                <c:pt idx="11">
                  <c:v>9</c:v>
                </c:pt>
                <c:pt idx="12">
                  <c:v>9</c:v>
                </c:pt>
              </c:numCache>
            </c:numRef>
          </c:val>
          <c:extLst>
            <c:ext xmlns:c16="http://schemas.microsoft.com/office/drawing/2014/chart" uri="{C3380CC4-5D6E-409C-BE32-E72D297353CC}">
              <c16:uniqueId val="{00000003-CD80-4761-BDF0-305BB6DEDC47}"/>
            </c:ext>
          </c:extLst>
        </c:ser>
        <c:dLbls>
          <c:showLegendKey val="0"/>
          <c:showVal val="0"/>
          <c:showCatName val="0"/>
          <c:showSerName val="0"/>
          <c:showPercent val="0"/>
          <c:showBubbleSize val="0"/>
        </c:dLbls>
        <c:gapWidth val="10"/>
        <c:axId val="1945078575"/>
        <c:axId val="1"/>
      </c:barChart>
      <c:catAx>
        <c:axId val="1945078575"/>
        <c:scaling>
          <c:orientation val="minMax"/>
        </c:scaling>
        <c:delete val="0"/>
        <c:axPos val="b"/>
        <c:numFmt formatCode="General" sourceLinked="1"/>
        <c:majorTickMark val="out"/>
        <c:minorTickMark val="none"/>
        <c:tickLblPos val="nextTo"/>
        <c:spPr>
          <a:ln w="25400">
            <a:solidFill>
              <a:srgbClr val="B3B3B3"/>
            </a:solidFill>
            <a:prstDash val="solid"/>
          </a:ln>
        </c:spPr>
        <c:txPr>
          <a:bodyPr rot="-2220000" vert="horz"/>
          <a:lstStyle/>
          <a:p>
            <a:pPr>
              <a:defRPr sz="7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scaling>
        <c:delete val="0"/>
        <c:axPos val="l"/>
        <c:majorGridlines>
          <c:spPr>
            <a:ln w="25400">
              <a:solidFill>
                <a:srgbClr val="B3B3B3"/>
              </a:solidFill>
              <a:prstDash val="solid"/>
            </a:ln>
          </c:spPr>
        </c:majorGridlines>
        <c:title>
          <c:tx>
            <c:rich>
              <a:bodyPr rot="0" vert="horz"/>
              <a:lstStyle/>
              <a:p>
                <a:pPr algn="ctr">
                  <a:defRPr sz="800" b="0" i="0" u="none" strike="noStrike" baseline="0">
                    <a:solidFill>
                      <a:srgbClr val="000000"/>
                    </a:solidFill>
                    <a:latin typeface="Arial"/>
                    <a:ea typeface="Arial"/>
                    <a:cs typeface="Arial"/>
                  </a:defRPr>
                </a:pPr>
                <a:r>
                  <a:rPr lang="fr-FR"/>
                  <a:t>Milliers d'ha</a:t>
                </a:r>
              </a:p>
            </c:rich>
          </c:tx>
          <c:layout>
            <c:manualLayout>
              <c:xMode val="edge"/>
              <c:yMode val="edge"/>
              <c:x val="3.5067518734071282E-2"/>
              <c:y val="6.4293355312768544E-2"/>
            </c:manualLayout>
          </c:layout>
          <c:overlay val="0"/>
          <c:spPr>
            <a:noFill/>
            <a:ln w="25400">
              <a:noFill/>
            </a:ln>
          </c:spPr>
        </c:title>
        <c:numFmt formatCode="#\ ##0\ "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945078575"/>
        <c:crosses val="autoZero"/>
        <c:crossBetween val="between"/>
      </c:valAx>
      <c:spPr>
        <a:noFill/>
        <a:ln w="25400">
          <a:solidFill>
            <a:srgbClr val="B3B3B3"/>
          </a:solidFill>
          <a:prstDash val="solid"/>
        </a:ln>
      </c:spPr>
    </c:plotArea>
    <c:legend>
      <c:legendPos val="r"/>
      <c:layout>
        <c:manualLayout>
          <c:xMode val="edge"/>
          <c:yMode val="edge"/>
          <c:x val="0.29429760486159801"/>
          <c:y val="0.91931397375309509"/>
          <c:w val="0.50630805046913074"/>
          <c:h val="6.9509105332551099E-2"/>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5.xml"/><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25400</xdr:colOff>
      <xdr:row>10</xdr:row>
      <xdr:rowOff>12700</xdr:rowOff>
    </xdr:from>
    <xdr:to>
      <xdr:col>0</xdr:col>
      <xdr:colOff>12071350</xdr:colOff>
      <xdr:row>71</xdr:row>
      <xdr:rowOff>44450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25400" y="2368550"/>
          <a:ext cx="12045950" cy="12642850"/>
        </a:xfrm>
        <a:prstGeom prst="rect">
          <a:avLst/>
        </a:prstGeom>
        <a:solidFill>
          <a:schemeClr val="lt1"/>
        </a:solidFill>
        <a:ln w="12700" cmpd="sng">
          <a:solidFill>
            <a:srgbClr val="0080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i="0" u="none" strike="noStrike" baseline="0">
              <a:solidFill>
                <a:srgbClr val="008080"/>
              </a:solidFill>
              <a:effectLst/>
              <a:latin typeface="Marianne" panose="02000000000000000000" pitchFamily="50" charset="0"/>
              <a:ea typeface="+mn-ea"/>
              <a:cs typeface="+mn-cs"/>
            </a:rPr>
            <a:t>Méthodologie</a:t>
          </a:r>
          <a:r>
            <a:rPr lang="fr-FR" sz="1400" baseline="0">
              <a:solidFill>
                <a:srgbClr val="008080"/>
              </a:solidFill>
              <a:latin typeface="Marianne" panose="02000000000000000000" pitchFamily="50" charset="0"/>
            </a:rPr>
            <a:t> </a:t>
          </a:r>
        </a:p>
        <a:p>
          <a:endParaRPr lang="fr-FR" sz="1400" baseline="0">
            <a:solidFill>
              <a:srgbClr val="3D9EE7"/>
            </a:solidFill>
            <a:latin typeface="Marianne" panose="02000000000000000000" pitchFamily="50" charset="0"/>
          </a:endParaRPr>
        </a:p>
        <a:p>
          <a:r>
            <a:rPr lang="fr-FR" sz="1100" b="1" i="0" u="none" strike="noStrike" baseline="0">
              <a:solidFill>
                <a:sysClr val="windowText" lastClr="000000"/>
              </a:solidFill>
              <a:effectLst/>
              <a:latin typeface="Marianne" panose="02000000000000000000" pitchFamily="50" charset="0"/>
              <a:ea typeface="+mn-ea"/>
              <a:cs typeface="+mn-cs"/>
            </a:rPr>
            <a:t>DRAAF Occitanie / SRISET -  Estimations précoces de conjoncture en Grandes cultures</a:t>
          </a:r>
        </a:p>
        <a:p>
          <a:endParaRPr lang="fr-FR" sz="1100" b="1" i="0" u="none" strike="noStrike">
            <a:solidFill>
              <a:schemeClr val="dk1"/>
            </a:solidFill>
            <a:effectLst/>
            <a:latin typeface="Marianne" panose="02000000000000000000" pitchFamily="50" charset="0"/>
            <a:ea typeface="+mn-ea"/>
            <a:cs typeface="+mn-cs"/>
          </a:endParaRPr>
        </a:p>
        <a:p>
          <a:r>
            <a:rPr lang="fr-FR" sz="1100" b="1" i="0" u="sng" strike="noStrike">
              <a:solidFill>
                <a:schemeClr val="dk1"/>
              </a:solidFill>
              <a:effectLst/>
              <a:latin typeface="Marianne" panose="02000000000000000000" pitchFamily="50" charset="0"/>
              <a:ea typeface="+mn-ea"/>
              <a:cs typeface="+mn-cs"/>
            </a:rPr>
            <a:t>1) Le calendrier</a:t>
          </a:r>
          <a:r>
            <a:rPr lang="fr-FR" sz="1100">
              <a:latin typeface="Marianne" panose="02000000000000000000" pitchFamily="50" charset="0"/>
            </a:rPr>
            <a:t> </a:t>
          </a:r>
        </a:p>
        <a:p>
          <a:endParaRPr lang="fr-FR" sz="1100">
            <a:latin typeface="Marianne" panose="02000000000000000000" pitchFamily="50" charset="0"/>
          </a:endParaRPr>
        </a:p>
        <a:p>
          <a:r>
            <a:rPr lang="fr-FR" sz="1100" b="0" i="0" u="none" strike="noStrike">
              <a:solidFill>
                <a:schemeClr val="dk1"/>
              </a:solidFill>
              <a:effectLst/>
              <a:latin typeface="Marianne" panose="02000000000000000000" pitchFamily="50" charset="0"/>
              <a:ea typeface="+mn-ea"/>
              <a:cs typeface="+mn-cs"/>
            </a:rPr>
            <a:t>Le suivi de la conjoncture en Grandes Cultures de l'année de production N débute en décembre de l'année N-1 (prévisions de semis par culture), et se termine en novembre de l'année N (bilan intermédiaire des récoltes).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estimations sont révisées et publiées tous les mois (à l'exception des mois de janvier et de mars), après la publication officielle des résultats nationaux dont le calendrier est annoncé sur le site Agreste (rubrique Conjoncture Infos rapides / Calendrier de parution), généralement à partir du 10 du mois.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premières estimations qui ne concernent que les céréales d’hiver (blés, seigle, orge, avoine, triticale) et le colza, ne portent que sur les surfaces mises en culture. En avril, les cultures de printemps s’ajoutent aux cultures d’hiver, et dès le mois de mai les informations intègrent l’ensemble des cultures avec l'ajout des cultures d'été. A partir de juillet (juin pour le colza et l’orge d’hiver), les estimations de surfaces sont complétées par des estimations de rendements et de production.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 calendrier détaillé des évaluations par culture est précisé dans l'onglet Calendrier_Estim_production.</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A l'issue du suivi en conjoncture (dernière publication en novembre de l'année N), les estimations en Grandes Cultures sont encore affinées à partir des dernières données disponibles et sont consolidées dans plusieurs versions successives de la statistique agricole annuelle (SAA) : préliminaire en janvier N+1, provisoire en mars N+1, semi-définitive en juin N+1, et définitive en octobre N+1.</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L’objectif de ce suivi est de fournir des évaluations quantitatives des productions totales et des rendements moyens par culture à l’échelle départementale. Des commentaires plus qualitatifs, sur la qualité des produits et sur l’hétérogénéité des résultats, complètent dans la mesure du possible ces estimations. Néanmoins, les moyens mis en œuvre ne permettent pas d’apprécier complètement l’hétérogénéité infra-départementale, parfois importante y compris à une échelle très locale.</a:t>
          </a:r>
        </a:p>
        <a:p>
          <a:endParaRPr lang="fr-FR" sz="1100" b="0" i="0" u="none" strike="noStrike">
            <a:solidFill>
              <a:schemeClr val="dk1"/>
            </a:solidFill>
            <a:effectLst/>
            <a:latin typeface="Marianne" panose="02000000000000000000" pitchFamily="50" charset="0"/>
            <a:ea typeface="+mn-ea"/>
            <a:cs typeface="+mn-cs"/>
          </a:endParaRPr>
        </a:p>
        <a:p>
          <a:r>
            <a:rPr lang="fr-FR" sz="1100" b="1" i="0" u="sng" strike="noStrike">
              <a:solidFill>
                <a:schemeClr val="dk1"/>
              </a:solidFill>
              <a:effectLst/>
              <a:latin typeface="Marianne" panose="02000000000000000000" pitchFamily="50" charset="0"/>
              <a:ea typeface="+mn-ea"/>
              <a:cs typeface="+mn-cs"/>
            </a:rPr>
            <a:t>2) Les sources d’information</a:t>
          </a:r>
        </a:p>
        <a:p>
          <a:endParaRPr lang="fr-FR" sz="1100" b="1" i="0" u="sng" strike="noStrike">
            <a:solidFill>
              <a:schemeClr val="dk1"/>
            </a:solidFill>
            <a:effectLst/>
            <a:latin typeface="Marianne" panose="02000000000000000000" pitchFamily="50" charset="0"/>
            <a:ea typeface="+mn-ea"/>
            <a:cs typeface="+mn-cs"/>
          </a:endParaRPr>
        </a:p>
        <a:p>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La conjoncture est basée sur l’exploitation d’informations provenant de sources variées, et disponibles selon des calendriers qui leur sont propres : données d’enquêtes (enquête terres labourables), données administratives (déclarations des surfaces PAC, collecte et stocks des collecteurs), dires d’experts.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L'enquête terres labourables (Terlab) est une enquête réalisée par la statistique agricole auprès d'un échantillon d'exploitants agricoles. En Occitanie, environ 2100 exploitants sont interrogés (en 2024) ; ils sont répartis dans les départements présentant une surface significative en grandes cultures (soit 9 départements sur 13, l'Ariège, l'Hérault, le Lot et les Pyrénées-Orientales n'étant pas enquêtés). L'enquête est réalisée en 2 temps (ou vagues). La 1ere vague, collectée de mi-juillet à mi-septembre, a pour principal objet l'estimation des rendements des cultures d'hiver et de printemps. La seconde, de novembre à mi-janvier, permet d’évaluer les rendements des cultures d’été, et fournit des prévisions de semis pour la campagne suivante.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premières déclarations PAC de la campagne N sont généralement disponibles après la mi-mai, date limite usuelle pour la déclaration des surfaces par culture par les exploitants agricoles. Ces données sont ensuite actualisées en cours de campagne pour prendre en compte les corrections apportées par les déclarants (modification d’assolement) et l’instruction des dossiers PAC.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dires d’experts proviennent de la consultation régulière d’un réseau de correspondants locaux dans les différents départements parmi lesquels figurent des techniciens des chambres d’agriculture (dont une partie assure en particulier les observations de l’état de cultures dans le cadre du dispositif CéréObs), des représentants des coopératives agricoles et des entreprises de négoce, des organismes de recherche et développement et des instituts spécialisés (ARVALIS, Terres Inovia, Centre français du riz…), des syndicats de semences et établissements spécialisés dans la production de semences. Au total, plus d’une vingtaine de correspondants sont consultés chaque mois pour établir les prévisions pour l’Occitanie.</a:t>
          </a:r>
          <a:r>
            <a:rPr lang="fr-FR" sz="1100">
              <a:latin typeface="Marianne" panose="02000000000000000000" pitchFamily="50" charset="0"/>
            </a:rPr>
            <a:t> </a:t>
          </a:r>
        </a:p>
        <a:p>
          <a:endParaRPr lang="fr-FR" sz="1100">
            <a:latin typeface="Marianne" panose="02000000000000000000" pitchFamily="50" charset="0"/>
          </a:endParaRPr>
        </a:p>
        <a:p>
          <a:r>
            <a:rPr lang="fr-FR" sz="1100" b="1" i="0" u="sng" strike="noStrike">
              <a:solidFill>
                <a:schemeClr val="dk1"/>
              </a:solidFill>
              <a:effectLst/>
              <a:latin typeface="Marianne" panose="02000000000000000000" pitchFamily="50" charset="0"/>
              <a:ea typeface="+mn-ea"/>
              <a:cs typeface="+mn-cs"/>
            </a:rPr>
            <a:t>3) Les méthodes d’estimation</a:t>
          </a:r>
          <a:r>
            <a:rPr lang="fr-FR" sz="1100">
              <a:latin typeface="Marianne" panose="02000000000000000000" pitchFamily="50" charset="0"/>
            </a:rPr>
            <a:t> </a:t>
          </a:r>
        </a:p>
        <a:p>
          <a:endParaRPr lang="fr-FR" sz="1100">
            <a:latin typeface="Marianne" panose="02000000000000000000" pitchFamily="50" charset="0"/>
          </a:endParaRPr>
        </a:p>
        <a:p>
          <a:r>
            <a:rPr lang="fr-FR" sz="1100" b="0" i="0" u="none" strike="noStrike">
              <a:solidFill>
                <a:schemeClr val="dk1"/>
              </a:solidFill>
              <a:effectLst/>
              <a:latin typeface="Marianne" panose="02000000000000000000" pitchFamily="50" charset="0"/>
              <a:ea typeface="+mn-ea"/>
              <a:cs typeface="+mn-cs"/>
            </a:rPr>
            <a:t>L’établissement de la conjoncture Grandes Cultures est un travail de synthèse d’informations, effectué avec une périodicité mensuelle, qui consiste à exploiter et recouper l’ensemble des données au fur et à mesure de leur disponibilité.</a:t>
          </a:r>
          <a:r>
            <a:rPr lang="fr-FR" sz="1100">
              <a:latin typeface="Marianne" panose="02000000000000000000" pitchFamily="50" charset="0"/>
            </a:rPr>
            <a:t> </a:t>
          </a:r>
        </a:p>
        <a:p>
          <a:endParaRPr lang="fr-FR" sz="1100">
            <a:latin typeface="Marianne" panose="02000000000000000000" pitchFamily="50" charset="0"/>
          </a:endParaRPr>
        </a:p>
        <a:p>
          <a:r>
            <a:rPr lang="fr-FR" sz="1100" b="1" i="0" u="none" strike="noStrike">
              <a:solidFill>
                <a:schemeClr val="dk1"/>
              </a:solidFill>
              <a:effectLst/>
              <a:latin typeface="Marianne" panose="02000000000000000000" pitchFamily="50" charset="0"/>
              <a:ea typeface="+mn-ea"/>
              <a:cs typeface="+mn-cs"/>
            </a:rPr>
            <a:t>a) Surfaces des cultures</a:t>
          </a:r>
          <a:r>
            <a:rPr lang="fr-FR" sz="1100">
              <a:latin typeface="Marianne" panose="02000000000000000000" pitchFamily="50" charset="0"/>
            </a:rPr>
            <a:t> </a:t>
          </a:r>
        </a:p>
        <a:p>
          <a:endParaRPr lang="fr-FR" sz="1100">
            <a:latin typeface="Marianne" panose="02000000000000000000" pitchFamily="50" charset="0"/>
          </a:endParaRPr>
        </a:p>
        <a:p>
          <a:r>
            <a:rPr lang="fr-FR" sz="1100" b="0" i="0" u="none" strike="noStrike">
              <a:solidFill>
                <a:schemeClr val="dk1"/>
              </a:solidFill>
              <a:effectLst/>
              <a:latin typeface="Marianne" panose="02000000000000000000" pitchFamily="50" charset="0"/>
              <a:ea typeface="+mn-ea"/>
              <a:cs typeface="+mn-cs"/>
            </a:rPr>
            <a:t>En décembre N-1, les premières estimations reposent exclusivement sur les dires d’expert.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En février N, sont exploitées les prévisions de surfaces mises en culture issues de la vague 2 de l’enquête Terlab de l’année N-1. Ces résultats, basés sur un échantillon, sont systématiquement confrontées aux évaluations précédentes et, après une nouvelle consultation des experts, permettent de mettre à jour les estimations.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Dans les départements dans lesquels l’enquête Terlab n’est pas réalisée, les estimations sont établies à partir d’une synthèse entre les dires d’expert et les variations relatives observées dans les départements limitrophes et similaires (en termes de cultures et de conditions météorologiques). Les notations Cereobs sont également analysées pour le suivi des taux de semis des céréales à paille. Elles permettent d’affiner l’estimation des semis de l’année N.</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Jusqu’en juin N, les estimations sont révisées sur la base de la consultation des experts locaux.</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A partir de juillet N, les déclarations PAC deviennent la principale source d’information utilisée. </a:t>
          </a:r>
        </a:p>
        <a:p>
          <a:endParaRPr lang="fr-FR" sz="1100" b="0" i="0" u="none" strike="noStrike">
            <a:solidFill>
              <a:schemeClr val="dk1"/>
            </a:solidFill>
            <a:effectLst/>
            <a:latin typeface="Marianne" panose="02000000000000000000" pitchFamily="50" charset="0"/>
            <a:ea typeface="+mn-ea"/>
            <a:cs typeface="+mn-cs"/>
          </a:endParaRPr>
        </a:p>
        <a:p>
          <a:r>
            <a:rPr lang="fr-FR" sz="1100" b="1" i="0" u="none" strike="noStrike">
              <a:solidFill>
                <a:schemeClr val="dk1"/>
              </a:solidFill>
              <a:effectLst/>
              <a:latin typeface="Marianne" panose="02000000000000000000" pitchFamily="50" charset="0"/>
              <a:ea typeface="+mn-ea"/>
              <a:cs typeface="+mn-cs"/>
            </a:rPr>
            <a:t>b) Rendements et production</a:t>
          </a:r>
          <a:r>
            <a:rPr lang="fr-FR" sz="1100">
              <a:latin typeface="Marianne" panose="02000000000000000000" pitchFamily="50" charset="0"/>
            </a:rPr>
            <a:t> </a:t>
          </a:r>
        </a:p>
        <a:p>
          <a:endParaRPr lang="fr-FR" sz="1100">
            <a:latin typeface="Marianne" panose="02000000000000000000" pitchFamily="50" charset="0"/>
          </a:endParaRPr>
        </a:p>
        <a:p>
          <a:r>
            <a:rPr lang="fr-FR" sz="1100" b="0" i="0" u="none" strike="noStrike">
              <a:solidFill>
                <a:schemeClr val="dk1"/>
              </a:solidFill>
              <a:effectLst/>
              <a:latin typeface="Marianne" panose="02000000000000000000" pitchFamily="50" charset="0"/>
              <a:ea typeface="+mn-ea"/>
              <a:cs typeface="+mn-cs"/>
            </a:rPr>
            <a:t>De juillet à septembre N, les estimations reposent exclusivement sur les dires d’expert qui disposent progressivement, au fur et à mesure de l’avancement de la campagne, d’une information de plus en plus détaillée sur l’état des récoltes.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A partir d’octobre N, les résultats de l’enquête Terlab sont pris en compte et constituent le support principal des estimations pour les cultures d’hiver et de printemps. Ces résultats, basés sur un échantillon, sont systématiquement confrontées aux évaluations précédentes et, après une nouvelle consultation des experts, permettent de mettre à jour les estimations.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Dans les départements dans lesquels l’enquête Terlab n’est pas réalisée, les estimations sont obtenues à partir d’une synthèse entre les dires d’expert et les variations relatives observées dans les départements limitrophes et similaires en termes de cultures et de conditions météorologiques.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résultats de rendements de l’enquête Terlab pour les cultures d’été ne sont pas utilisés dans le suivi de conjoncture de l’année N, car non disponibles avant décembre. En revanche ils constituent la base des estimations intégrées ensuite dans la statistique agricole annuelle.</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L’enquête Terlab différencie, pour les espèces les plus importantes, les cultures bio et les cultures conduites en conventionnel ; le rendement moyen par département et culture est évalué en pondérant les 2 estimations par la surface déclarée à la PAC.</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parcelles mises en culture et non récoltées (surface différente de 0 et rendement égal à 0) sont comptabilisées dans le calcul du rendement moyen départemental.</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La production par culture est obtenue comme le produit de la surface et du rendement.</a:t>
          </a:r>
          <a:r>
            <a:rPr lang="fr-FR" sz="1100">
              <a:latin typeface="Marianne" panose="02000000000000000000" pitchFamily="50" charset="0"/>
            </a:rPr>
            <a:t> </a:t>
          </a:r>
        </a:p>
        <a:p>
          <a:endParaRPr lang="fr-FR" sz="1100">
            <a:latin typeface="Marianne" panose="02000000000000000000" pitchFamily="50" charset="0"/>
          </a:endParaRPr>
        </a:p>
        <a:p>
          <a:r>
            <a:rPr lang="fr-FR" sz="900" i="1">
              <a:latin typeface="Marianne" panose="02000000000000000000" pitchFamily="50" charset="0"/>
            </a:rPr>
            <a:t>Mise à jour janvier 2025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28575</xdr:colOff>
      <xdr:row>8</xdr:row>
      <xdr:rowOff>0</xdr:rowOff>
    </xdr:to>
    <xdr:sp macro="" textlink="" fLocksText="0">
      <xdr:nvSpPr>
        <xdr:cNvPr id="2" name="Images 1">
          <a:extLst>
            <a:ext uri="{FF2B5EF4-FFF2-40B4-BE49-F238E27FC236}">
              <a16:creationId xmlns:a16="http://schemas.microsoft.com/office/drawing/2014/main" id="{00000000-0008-0000-0200-000002000000}"/>
            </a:ext>
          </a:extLst>
        </xdr:cNvPr>
        <xdr:cNvSpPr>
          <a:spLocks noChangeArrowheads="1"/>
        </xdr:cNvSpPr>
      </xdr:nvSpPr>
      <xdr:spPr bwMode="auto">
        <a:xfrm>
          <a:off x="0" y="0"/>
          <a:ext cx="15440025" cy="1492250"/>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chemeClr val="bg1"/>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Production de blé tendre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XX</a:t>
          </a:r>
          <a:r>
            <a:rPr lang="fr-FR" sz="1000" b="0" i="0" u="none" strike="noStrike" baseline="0">
              <a:solidFill>
                <a:schemeClr val="bg1"/>
              </a:solidFill>
              <a:latin typeface="Marianne" panose="02000000000000000000" pitchFamily="50" charset="0"/>
              <a:cs typeface="Arial"/>
            </a:rPr>
            <a:t>Mt, Occitanie : 10</a:t>
          </a:r>
          <a:r>
            <a:rPr lang="fr-FR" sz="1000" b="0" i="0" baseline="0">
              <a:solidFill>
                <a:schemeClr val="bg1"/>
              </a:solidFill>
              <a:effectLst/>
              <a:latin typeface="Marianne" panose="02000000000000000000" pitchFamily="50" charset="0"/>
              <a:ea typeface="+mn-ea"/>
              <a:cs typeface="+mn-cs"/>
            </a:rPr>
            <a:t>° </a:t>
          </a:r>
          <a:r>
            <a:rPr lang="fr-FR" sz="1000" b="0" i="0" u="none" strike="noStrike" baseline="0">
              <a:solidFill>
                <a:schemeClr val="bg1"/>
              </a:solidFill>
              <a:latin typeface="Marianne" panose="02000000000000000000" pitchFamily="50" charset="0"/>
              <a:cs typeface="Arial"/>
            </a:rPr>
            <a:t>rang </a:t>
          </a:r>
        </a:p>
        <a:p>
          <a:pPr algn="ctr" rtl="0">
            <a:defRPr sz="1000"/>
          </a:pPr>
          <a:r>
            <a:rPr lang="fr-FR" sz="1000" b="0" i="0" u="none" strike="noStrike" baseline="0">
              <a:solidFill>
                <a:schemeClr val="bg1"/>
              </a:solidFill>
              <a:latin typeface="Marianne" panose="02000000000000000000" pitchFamily="50" charset="0"/>
              <a:cs typeface="Arial"/>
            </a:rPr>
            <a:t>                                        Production de Blé dur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 XX</a:t>
          </a:r>
          <a:r>
            <a:rPr lang="fr-FR" sz="1000" b="0" i="0" u="none" strike="noStrike" baseline="0">
              <a:solidFill>
                <a:schemeClr val="bg1"/>
              </a:solidFill>
              <a:latin typeface="Marianne" panose="02000000000000000000" pitchFamily="50" charset="0"/>
              <a:cs typeface="Arial"/>
            </a:rPr>
            <a:t>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Tournesol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 XX</a:t>
          </a:r>
          <a:r>
            <a:rPr lang="fr-FR" sz="1000" b="0" i="0" u="none" strike="noStrike" baseline="0">
              <a:solidFill>
                <a:schemeClr val="bg1"/>
              </a:solidFill>
              <a:latin typeface="Marianne" panose="02000000000000000000" pitchFamily="50" charset="0"/>
              <a:cs typeface="Arial"/>
            </a:rPr>
            <a:t>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de Soja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a:t>
          </a:r>
          <a:r>
            <a:rPr lang="fr-FR" sz="1000" b="0" i="0" u="none" strike="noStrike" baseline="0">
              <a:solidFill>
                <a:srgbClr val="FF0000"/>
              </a:solidFill>
              <a:latin typeface="Marianne" panose="02000000000000000000" pitchFamily="50" charset="0"/>
              <a:cs typeface="Arial"/>
            </a:rPr>
            <a:t>XX</a:t>
          </a:r>
          <a:r>
            <a:rPr lang="fr-FR" sz="1000" b="0" i="0" u="none" strike="noStrike" baseline="0">
              <a:solidFill>
                <a:schemeClr val="bg1"/>
              </a:solidFill>
              <a:latin typeface="Marianne" panose="02000000000000000000" pitchFamily="50" charset="0"/>
              <a:cs typeface="Arial"/>
            </a:rPr>
            <a:t> Mt Occitanie :  </a:t>
          </a:r>
          <a:r>
            <a:rPr lang="fr-FR" sz="1000" b="0" i="0" u="none" strike="noStrike" baseline="0">
              <a:solidFill>
                <a:schemeClr val="bg1"/>
              </a:solidFill>
              <a:latin typeface="Marianne" panose="02000000000000000000" pitchFamily="50" charset="0"/>
              <a:ea typeface="+mn-ea"/>
              <a:cs typeface="Arial"/>
            </a:rPr>
            <a:t>3° rang </a:t>
          </a:r>
        </a:p>
      </xdr:txBody>
    </xdr:sp>
    <xdr:clientData/>
  </xdr:twoCellAnchor>
  <xdr:twoCellAnchor>
    <xdr:from>
      <xdr:col>0</xdr:col>
      <xdr:colOff>0</xdr:colOff>
      <xdr:row>0</xdr:row>
      <xdr:rowOff>0</xdr:rowOff>
    </xdr:from>
    <xdr:to>
      <xdr:col>19</xdr:col>
      <xdr:colOff>893594</xdr:colOff>
      <xdr:row>7</xdr:row>
      <xdr:rowOff>301199</xdr:rowOff>
    </xdr:to>
    <xdr:sp macro="" textlink="" fLocksText="0">
      <xdr:nvSpPr>
        <xdr:cNvPr id="3" name="Images 1">
          <a:extLst>
            <a:ext uri="{FF2B5EF4-FFF2-40B4-BE49-F238E27FC236}">
              <a16:creationId xmlns:a16="http://schemas.microsoft.com/office/drawing/2014/main" id="{00000000-0008-0000-0200-000003000000}"/>
            </a:ext>
          </a:extLst>
        </xdr:cNvPr>
        <xdr:cNvSpPr>
          <a:spLocks noChangeArrowheads="1"/>
        </xdr:cNvSpPr>
      </xdr:nvSpPr>
      <xdr:spPr bwMode="auto">
        <a:xfrm>
          <a:off x="0" y="0"/>
          <a:ext cx="16235194" cy="1507699"/>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chemeClr val="bg1"/>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Production de blé tendre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25,68 Mt, Occitanie : 11</a:t>
          </a:r>
          <a:r>
            <a:rPr lang="fr-FR" sz="1000" b="0" i="0" baseline="0">
              <a:solidFill>
                <a:schemeClr val="bg1"/>
              </a:solidFill>
              <a:effectLst/>
              <a:latin typeface="Marianne" panose="02000000000000000000" pitchFamily="50" charset="0"/>
              <a:ea typeface="+mn-ea"/>
              <a:cs typeface="+mn-cs"/>
            </a:rPr>
            <a:t>° </a:t>
          </a:r>
          <a:r>
            <a:rPr lang="fr-FR" sz="1000" b="0" i="0" u="none" strike="noStrike" baseline="0">
              <a:solidFill>
                <a:schemeClr val="bg1"/>
              </a:solidFill>
              <a:latin typeface="Marianne" panose="02000000000000000000" pitchFamily="50" charset="0"/>
              <a:cs typeface="Arial"/>
            </a:rPr>
            <a:t>rang </a:t>
          </a:r>
        </a:p>
        <a:p>
          <a:pPr algn="ctr" rtl="0">
            <a:defRPr sz="1000"/>
          </a:pPr>
          <a:r>
            <a:rPr lang="fr-FR" sz="1000" b="0" i="0" u="none" strike="noStrike" baseline="0">
              <a:solidFill>
                <a:schemeClr val="bg1"/>
              </a:solidFill>
              <a:latin typeface="Marianne" panose="02000000000000000000" pitchFamily="50" charset="0"/>
              <a:cs typeface="Arial"/>
            </a:rPr>
            <a:t>                                        Production de Blé dur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1,24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Tournesol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1,48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de Soja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0,40 Mt Occitanie :  </a:t>
          </a:r>
          <a:r>
            <a:rPr lang="fr-FR" sz="1000" b="0" i="0" u="none" strike="noStrike" baseline="0">
              <a:solidFill>
                <a:schemeClr val="bg1"/>
              </a:solidFill>
              <a:latin typeface="Marianne" panose="02000000000000000000" pitchFamily="50" charset="0"/>
              <a:ea typeface="+mn-ea"/>
              <a:cs typeface="Arial"/>
            </a:rPr>
            <a:t>3° rang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701581</xdr:colOff>
      <xdr:row>7</xdr:row>
      <xdr:rowOff>299687</xdr:rowOff>
    </xdr:to>
    <xdr:sp macro="" textlink="" fLocksText="0">
      <xdr:nvSpPr>
        <xdr:cNvPr id="4" name="Images 1">
          <a:extLst>
            <a:ext uri="{FF2B5EF4-FFF2-40B4-BE49-F238E27FC236}">
              <a16:creationId xmlns:a16="http://schemas.microsoft.com/office/drawing/2014/main" id="{00000000-0008-0000-0300-000004000000}"/>
            </a:ext>
          </a:extLst>
        </xdr:cNvPr>
        <xdr:cNvSpPr>
          <a:spLocks noChangeArrowheads="1"/>
        </xdr:cNvSpPr>
      </xdr:nvSpPr>
      <xdr:spPr bwMode="auto">
        <a:xfrm>
          <a:off x="0" y="0"/>
          <a:ext cx="16454117" cy="1492580"/>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chemeClr val="bg1"/>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Production de blé tendre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25,68 Mt, Occitanie : 11</a:t>
          </a:r>
          <a:r>
            <a:rPr lang="fr-FR" sz="1000" b="0" i="0" baseline="0">
              <a:solidFill>
                <a:schemeClr val="bg1"/>
              </a:solidFill>
              <a:effectLst/>
              <a:latin typeface="Marianne" panose="02000000000000000000" pitchFamily="50" charset="0"/>
              <a:ea typeface="+mn-ea"/>
              <a:cs typeface="+mn-cs"/>
            </a:rPr>
            <a:t>° </a:t>
          </a:r>
          <a:r>
            <a:rPr lang="fr-FR" sz="1000" b="0" i="0" u="none" strike="noStrike" baseline="0">
              <a:solidFill>
                <a:schemeClr val="bg1"/>
              </a:solidFill>
              <a:latin typeface="Marianne" panose="02000000000000000000" pitchFamily="50" charset="0"/>
              <a:cs typeface="Arial"/>
            </a:rPr>
            <a:t>rang </a:t>
          </a:r>
        </a:p>
        <a:p>
          <a:pPr algn="ctr" rtl="0">
            <a:defRPr sz="1000"/>
          </a:pPr>
          <a:r>
            <a:rPr lang="fr-FR" sz="1000" b="0" i="0" u="none" strike="noStrike" baseline="0">
              <a:solidFill>
                <a:schemeClr val="bg1"/>
              </a:solidFill>
              <a:latin typeface="Marianne" panose="02000000000000000000" pitchFamily="50" charset="0"/>
              <a:cs typeface="Arial"/>
            </a:rPr>
            <a:t>                                        Production de Blé dur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1,24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Tournesol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1,48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de Soja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0,40 Mt Occitanie :  </a:t>
          </a:r>
          <a:r>
            <a:rPr lang="fr-FR" sz="1000" b="0" i="0" u="none" strike="noStrike" baseline="0">
              <a:solidFill>
                <a:schemeClr val="bg1"/>
              </a:solidFill>
              <a:latin typeface="Marianne" panose="02000000000000000000" pitchFamily="50" charset="0"/>
              <a:ea typeface="+mn-ea"/>
              <a:cs typeface="Arial"/>
            </a:rPr>
            <a:t>3° rang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724260</xdr:colOff>
      <xdr:row>7</xdr:row>
      <xdr:rowOff>300099</xdr:rowOff>
    </xdr:to>
    <xdr:sp macro="" textlink="" fLocksText="0">
      <xdr:nvSpPr>
        <xdr:cNvPr id="4" name="Images 1">
          <a:extLst>
            <a:ext uri="{FF2B5EF4-FFF2-40B4-BE49-F238E27FC236}">
              <a16:creationId xmlns:a16="http://schemas.microsoft.com/office/drawing/2014/main" id="{00000000-0008-0000-0400-000004000000}"/>
            </a:ext>
          </a:extLst>
        </xdr:cNvPr>
        <xdr:cNvSpPr>
          <a:spLocks noChangeArrowheads="1"/>
        </xdr:cNvSpPr>
      </xdr:nvSpPr>
      <xdr:spPr bwMode="auto">
        <a:xfrm>
          <a:off x="0" y="0"/>
          <a:ext cx="16454117" cy="1492580"/>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chemeClr val="bg1"/>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Production de blé tendre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25,68 Mt, Occitanie : 11</a:t>
          </a:r>
          <a:r>
            <a:rPr lang="fr-FR" sz="1000" b="0" i="0" baseline="0">
              <a:solidFill>
                <a:schemeClr val="bg1"/>
              </a:solidFill>
              <a:effectLst/>
              <a:latin typeface="Marianne" panose="02000000000000000000" pitchFamily="50" charset="0"/>
              <a:ea typeface="+mn-ea"/>
              <a:cs typeface="+mn-cs"/>
            </a:rPr>
            <a:t>° </a:t>
          </a:r>
          <a:r>
            <a:rPr lang="fr-FR" sz="1000" b="0" i="0" u="none" strike="noStrike" baseline="0">
              <a:solidFill>
                <a:schemeClr val="bg1"/>
              </a:solidFill>
              <a:latin typeface="Marianne" panose="02000000000000000000" pitchFamily="50" charset="0"/>
              <a:cs typeface="Arial"/>
            </a:rPr>
            <a:t>rang </a:t>
          </a:r>
        </a:p>
        <a:p>
          <a:pPr algn="ctr" rtl="0">
            <a:defRPr sz="1000"/>
          </a:pPr>
          <a:r>
            <a:rPr lang="fr-FR" sz="1000" b="0" i="0" u="none" strike="noStrike" baseline="0">
              <a:solidFill>
                <a:schemeClr val="bg1"/>
              </a:solidFill>
              <a:latin typeface="Marianne" panose="02000000000000000000" pitchFamily="50" charset="0"/>
              <a:cs typeface="Arial"/>
            </a:rPr>
            <a:t>                                        Production de Blé dur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1,24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Tournesol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1,48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de Soja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0,40 Mt Occitanie :  </a:t>
          </a:r>
          <a:r>
            <a:rPr lang="fr-FR" sz="1000" b="0" i="0" u="none" strike="noStrike" baseline="0">
              <a:solidFill>
                <a:schemeClr val="bg1"/>
              </a:solidFill>
              <a:latin typeface="Marianne" panose="02000000000000000000" pitchFamily="50" charset="0"/>
              <a:ea typeface="+mn-ea"/>
              <a:cs typeface="Arial"/>
            </a:rPr>
            <a:t>3° rang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892569</xdr:colOff>
      <xdr:row>9</xdr:row>
      <xdr:rowOff>93446</xdr:rowOff>
    </xdr:from>
    <xdr:to>
      <xdr:col>12</xdr:col>
      <xdr:colOff>318090</xdr:colOff>
      <xdr:row>23</xdr:row>
      <xdr:rowOff>177266</xdr:rowOff>
    </xdr:to>
    <xdr:graphicFrame macro="">
      <xdr:nvGraphicFramePr>
        <xdr:cNvPr id="2" name="Graphique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831287</xdr:colOff>
      <xdr:row>46</xdr:row>
      <xdr:rowOff>19464</xdr:rowOff>
    </xdr:from>
    <xdr:to>
      <xdr:col>12</xdr:col>
      <xdr:colOff>281673</xdr:colOff>
      <xdr:row>59</xdr:row>
      <xdr:rowOff>68465</xdr:rowOff>
    </xdr:to>
    <xdr:graphicFrame macro="">
      <xdr:nvGraphicFramePr>
        <xdr:cNvPr id="3" name="Graphique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895396</xdr:colOff>
      <xdr:row>26</xdr:row>
      <xdr:rowOff>294010</xdr:rowOff>
    </xdr:from>
    <xdr:to>
      <xdr:col>12</xdr:col>
      <xdr:colOff>328537</xdr:colOff>
      <xdr:row>40</xdr:row>
      <xdr:rowOff>166742</xdr:rowOff>
    </xdr:to>
    <xdr:graphicFrame macro="">
      <xdr:nvGraphicFramePr>
        <xdr:cNvPr id="4" name="Graphique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0</xdr:row>
      <xdr:rowOff>30480</xdr:rowOff>
    </xdr:from>
    <xdr:to>
      <xdr:col>17</xdr:col>
      <xdr:colOff>22860</xdr:colOff>
      <xdr:row>5</xdr:row>
      <xdr:rowOff>160020</xdr:rowOff>
    </xdr:to>
    <xdr:pic>
      <xdr:nvPicPr>
        <xdr:cNvPr id="5" name="Images 1">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0480"/>
          <a:ext cx="13570131" cy="1109254"/>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0</xdr:colOff>
      <xdr:row>0</xdr:row>
      <xdr:rowOff>30480</xdr:rowOff>
    </xdr:from>
    <xdr:to>
      <xdr:col>17</xdr:col>
      <xdr:colOff>22860</xdr:colOff>
      <xdr:row>5</xdr:row>
      <xdr:rowOff>160020</xdr:rowOff>
    </xdr:to>
    <xdr:pic>
      <xdr:nvPicPr>
        <xdr:cNvPr id="6" name="Images 1">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0480"/>
          <a:ext cx="13570131" cy="1109254"/>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8</xdr:row>
      <xdr:rowOff>0</xdr:rowOff>
    </xdr:from>
    <xdr:to>
      <xdr:col>12</xdr:col>
      <xdr:colOff>240909</xdr:colOff>
      <xdr:row>20</xdr:row>
      <xdr:rowOff>135988</xdr:rowOff>
    </xdr:to>
    <xdr:graphicFrame macro="">
      <xdr:nvGraphicFramePr>
        <xdr:cNvPr id="2" name="Graphique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24</xdr:row>
      <xdr:rowOff>0</xdr:rowOff>
    </xdr:from>
    <xdr:to>
      <xdr:col>12</xdr:col>
      <xdr:colOff>240909</xdr:colOff>
      <xdr:row>38</xdr:row>
      <xdr:rowOff>6448</xdr:rowOff>
    </xdr:to>
    <xdr:graphicFrame macro="">
      <xdr:nvGraphicFramePr>
        <xdr:cNvPr id="3" name="Graphique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30480</xdr:rowOff>
    </xdr:from>
    <xdr:to>
      <xdr:col>17</xdr:col>
      <xdr:colOff>22860</xdr:colOff>
      <xdr:row>5</xdr:row>
      <xdr:rowOff>160020</xdr:rowOff>
    </xdr:to>
    <xdr:pic>
      <xdr:nvPicPr>
        <xdr:cNvPr id="4" name="Images 1">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0480"/>
          <a:ext cx="13902146" cy="1109254"/>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0</xdr:colOff>
      <xdr:row>0</xdr:row>
      <xdr:rowOff>30480</xdr:rowOff>
    </xdr:from>
    <xdr:to>
      <xdr:col>17</xdr:col>
      <xdr:colOff>22860</xdr:colOff>
      <xdr:row>5</xdr:row>
      <xdr:rowOff>160020</xdr:rowOff>
    </xdr:to>
    <xdr:pic>
      <xdr:nvPicPr>
        <xdr:cNvPr id="5" name="Images 1">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0480"/>
          <a:ext cx="13902146" cy="1109254"/>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716280</xdr:colOff>
      <xdr:row>16</xdr:row>
      <xdr:rowOff>144780</xdr:rowOff>
    </xdr:from>
    <xdr:to>
      <xdr:col>12</xdr:col>
      <xdr:colOff>129540</xdr:colOff>
      <xdr:row>37</xdr:row>
      <xdr:rowOff>7620</xdr:rowOff>
    </xdr:to>
    <xdr:graphicFrame macro="">
      <xdr:nvGraphicFramePr>
        <xdr:cNvPr id="2" name="Graphique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226040</xdr:colOff>
      <xdr:row>43</xdr:row>
      <xdr:rowOff>68156</xdr:rowOff>
    </xdr:from>
    <xdr:to>
      <xdr:col>28</xdr:col>
      <xdr:colOff>319050</xdr:colOff>
      <xdr:row>62</xdr:row>
      <xdr:rowOff>4374</xdr:rowOff>
    </xdr:to>
    <xdr:graphicFrame macro="">
      <xdr:nvGraphicFramePr>
        <xdr:cNvPr id="3" name="Graphique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22</xdr:col>
      <xdr:colOff>723900</xdr:colOff>
      <xdr:row>6</xdr:row>
      <xdr:rowOff>106680</xdr:rowOff>
    </xdr:to>
    <xdr:pic>
      <xdr:nvPicPr>
        <xdr:cNvPr id="4" name="Images 1">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4287500" cy="10972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40"/>
  <sheetViews>
    <sheetView zoomScaleNormal="100" workbookViewId="0"/>
  </sheetViews>
  <sheetFormatPr baseColWidth="10" defaultColWidth="8.81640625" defaultRowHeight="16"/>
  <cols>
    <col min="1" max="1" width="208.6328125" style="241" customWidth="1"/>
    <col min="2" max="10" width="10.81640625" style="241" customWidth="1"/>
    <col min="11" max="11" width="24.81640625" style="241" customWidth="1"/>
    <col min="12" max="16" width="10.81640625" style="241" customWidth="1"/>
    <col min="17" max="1023" width="10.54296875" style="241" customWidth="1"/>
    <col min="1024" max="1025" width="11.453125" style="241" customWidth="1"/>
    <col min="1026" max="16384" width="8.81640625" style="241"/>
  </cols>
  <sheetData>
    <row r="2" spans="1:16" ht="23.5">
      <c r="A2" s="240" t="s">
        <v>90</v>
      </c>
      <c r="E2" s="242"/>
    </row>
    <row r="3" spans="1:16" ht="17.5">
      <c r="A3" s="243" t="s">
        <v>123</v>
      </c>
      <c r="B3" s="244"/>
      <c r="C3" s="244"/>
      <c r="D3" s="244"/>
      <c r="E3" s="242"/>
      <c r="F3" s="242"/>
    </row>
    <row r="4" spans="1:16" ht="17.5">
      <c r="A4" s="245" t="s">
        <v>124</v>
      </c>
      <c r="B4" s="246"/>
      <c r="C4" s="246"/>
      <c r="D4" s="246"/>
      <c r="E4" s="247"/>
      <c r="F4" s="247"/>
      <c r="G4" s="247"/>
      <c r="H4" s="247"/>
      <c r="I4" s="247"/>
      <c r="J4" s="247"/>
      <c r="K4" s="247"/>
      <c r="L4" s="247"/>
      <c r="M4" s="247"/>
      <c r="N4" s="247"/>
      <c r="O4" s="247"/>
      <c r="P4" s="247"/>
    </row>
    <row r="5" spans="1:16" ht="17.5">
      <c r="A5" s="245" t="s">
        <v>125</v>
      </c>
      <c r="B5" s="246"/>
      <c r="C5" s="246"/>
      <c r="D5" s="246"/>
      <c r="E5" s="247"/>
      <c r="F5" s="247"/>
      <c r="G5" s="247"/>
      <c r="H5" s="247"/>
      <c r="I5" s="247"/>
      <c r="J5" s="247"/>
      <c r="K5" s="247"/>
      <c r="L5" s="247"/>
      <c r="M5" s="247"/>
      <c r="N5" s="247"/>
      <c r="O5" s="247"/>
      <c r="P5" s="247"/>
    </row>
    <row r="6" spans="1:16" ht="17.5">
      <c r="A6" s="245" t="s">
        <v>126</v>
      </c>
      <c r="B6" s="246"/>
      <c r="C6" s="246"/>
      <c r="D6" s="246"/>
      <c r="E6" s="247"/>
      <c r="F6" s="247"/>
      <c r="G6" s="247"/>
      <c r="H6" s="247"/>
      <c r="I6" s="247"/>
      <c r="J6" s="247"/>
      <c r="K6" s="247"/>
      <c r="L6" s="247"/>
      <c r="M6" s="247"/>
      <c r="N6" s="247"/>
      <c r="O6" s="247"/>
      <c r="P6" s="247"/>
    </row>
    <row r="7" spans="1:16" ht="17.5">
      <c r="A7" s="243" t="s">
        <v>127</v>
      </c>
      <c r="B7" s="246"/>
      <c r="C7" s="246"/>
      <c r="D7" s="246"/>
      <c r="E7" s="247"/>
      <c r="F7" s="247"/>
      <c r="G7" s="247"/>
      <c r="H7" s="247"/>
      <c r="I7" s="247"/>
      <c r="J7" s="247"/>
      <c r="K7" s="247"/>
      <c r="L7" s="247"/>
      <c r="M7" s="247"/>
      <c r="N7" s="247"/>
      <c r="O7" s="247"/>
      <c r="P7" s="247"/>
    </row>
    <row r="8" spans="1:16" ht="17.5">
      <c r="A8" s="243" t="s">
        <v>128</v>
      </c>
      <c r="B8" s="246"/>
      <c r="C8" s="246"/>
      <c r="D8" s="246"/>
      <c r="E8" s="247"/>
      <c r="F8" s="247"/>
      <c r="G8" s="247"/>
      <c r="H8" s="247"/>
      <c r="I8" s="247"/>
      <c r="J8" s="247"/>
      <c r="K8" s="247"/>
      <c r="L8" s="247"/>
      <c r="M8" s="247"/>
      <c r="N8" s="247"/>
      <c r="O8" s="247"/>
      <c r="P8" s="247"/>
    </row>
    <row r="9" spans="1:16" ht="17.5">
      <c r="A9" s="243" t="s">
        <v>0</v>
      </c>
      <c r="B9" s="246"/>
      <c r="C9" s="246"/>
      <c r="D9" s="246"/>
      <c r="E9" s="247"/>
      <c r="F9" s="247"/>
      <c r="G9" s="247"/>
      <c r="H9" s="247"/>
      <c r="I9" s="247"/>
      <c r="J9" s="247"/>
      <c r="K9" s="247"/>
      <c r="L9" s="247"/>
      <c r="M9" s="247"/>
      <c r="N9" s="247"/>
      <c r="O9" s="247"/>
      <c r="P9" s="247"/>
    </row>
    <row r="10" spans="1:16" ht="23.5">
      <c r="A10" s="240"/>
      <c r="B10" s="248"/>
      <c r="C10" s="248"/>
      <c r="D10" s="248"/>
      <c r="E10" s="242"/>
      <c r="F10" s="242"/>
    </row>
    <row r="11" spans="1:16" ht="18.5">
      <c r="A11" s="249"/>
      <c r="B11" s="249"/>
      <c r="C11" s="249"/>
      <c r="D11" s="249"/>
      <c r="H11" s="250"/>
    </row>
    <row r="12" spans="1:16" ht="17.5">
      <c r="A12" s="248"/>
    </row>
    <row r="13" spans="1:16" ht="17.5">
      <c r="A13" s="251"/>
    </row>
    <row r="14" spans="1:16">
      <c r="A14" s="252"/>
    </row>
    <row r="15" spans="1:16">
      <c r="A15" s="252"/>
    </row>
    <row r="16" spans="1:16">
      <c r="A16" s="252"/>
    </row>
    <row r="17" spans="1:1">
      <c r="A17" s="252"/>
    </row>
    <row r="18" spans="1:1">
      <c r="A18" s="252"/>
    </row>
    <row r="19" spans="1:1">
      <c r="A19" s="252"/>
    </row>
    <row r="20" spans="1:1" ht="17.5">
      <c r="A20" s="251"/>
    </row>
    <row r="21" spans="1:1">
      <c r="A21" s="252"/>
    </row>
    <row r="22" spans="1:1">
      <c r="A22" s="252"/>
    </row>
    <row r="23" spans="1:1">
      <c r="A23" s="252"/>
    </row>
    <row r="24" spans="1:1">
      <c r="A24" s="252"/>
    </row>
    <row r="25" spans="1:1" ht="17.5">
      <c r="A25" s="251"/>
    </row>
    <row r="26" spans="1:1" ht="20" customHeight="1">
      <c r="A26" s="252"/>
    </row>
    <row r="27" spans="1:1">
      <c r="A27" s="253"/>
    </row>
    <row r="28" spans="1:1">
      <c r="A28" s="252"/>
    </row>
    <row r="29" spans="1:1">
      <c r="A29" s="252"/>
    </row>
    <row r="30" spans="1:1">
      <c r="A30" s="252"/>
    </row>
    <row r="31" spans="1:1">
      <c r="A31" s="252"/>
    </row>
    <row r="32" spans="1:1">
      <c r="A32" s="252"/>
    </row>
    <row r="33" spans="1:1">
      <c r="A33" s="253"/>
    </row>
    <row r="34" spans="1:1" ht="20.5" customHeight="1">
      <c r="A34" s="252"/>
    </row>
    <row r="35" spans="1:1">
      <c r="A35" s="252"/>
    </row>
    <row r="36" spans="1:1">
      <c r="A36" s="252"/>
    </row>
    <row r="37" spans="1:1">
      <c r="A37" s="252"/>
    </row>
    <row r="38" spans="1:1">
      <c r="A38" s="252"/>
    </row>
    <row r="39" spans="1:1">
      <c r="A39" s="252"/>
    </row>
    <row r="40" spans="1:1">
      <c r="A40" s="252"/>
    </row>
  </sheetData>
  <hyperlinks>
    <hyperlink ref="A9" location="'Evol.sole-régionale_Blés'!A1" display="Evolution de la sole régionale des blés" xr:uid="{00000000-0004-0000-0000-000000000000}"/>
    <hyperlink ref="A4" location="GC_Estim1_06_SURF_RDT_24_25!A1" display="Estimations des surfaces et rendements campagne 2024/2025" xr:uid="{00000000-0004-0000-0000-000001000000}"/>
    <hyperlink ref="A3" location="Calendrier_Estim_production!A1" display="Calendrier_Estim_production" xr:uid="{00000000-0004-0000-0000-000002000000}"/>
    <hyperlink ref="A7" location="Cotations_cereales!A1" display="Cotations_cereales" xr:uid="{00000000-0004-0000-0000-000003000000}"/>
    <hyperlink ref="A8" location="Cotations_oleoproteagineux!A1" display="Cotations_oleoproteagineux" xr:uid="{00000000-0004-0000-0000-000004000000}"/>
    <hyperlink ref="A5" location="GC_Estim1_06_SURF_24_25!A1" display="Estimations des surfaces campagne 2024/2025" xr:uid="{00000000-0004-0000-0000-000005000000}"/>
    <hyperlink ref="A6" location="GC_Estim1_06_RDT_24_25!A1" display="Estimations des rendements campagne 2024/2025" xr:uid="{00000000-0004-0000-0000-000006000000}"/>
  </hyperlinks>
  <pageMargins left="0" right="0" top="0.13888888888888901" bottom="0.13888888888888901" header="0" footer="0"/>
  <pageSetup paperSize="9" firstPageNumber="0" pageOrder="overThenDown" orientation="portrait" horizontalDpi="300" verticalDpi="300" r:id="rId1"/>
  <headerFooter>
    <oddHeader>&amp;C&amp;A</oddHeader>
    <oddFooter>&amp;CPage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29"/>
  <sheetViews>
    <sheetView zoomScaleNormal="100" zoomScalePageLayoutView="60" workbookViewId="0">
      <selection activeCell="G40" sqref="G40"/>
    </sheetView>
  </sheetViews>
  <sheetFormatPr baseColWidth="10" defaultColWidth="8.81640625" defaultRowHeight="12.5"/>
  <cols>
    <col min="1" max="1" width="24.81640625" style="1" customWidth="1"/>
    <col min="2" max="13" width="8.453125" style="1" customWidth="1"/>
    <col min="14" max="1023" width="10.54296875" style="1" customWidth="1"/>
    <col min="1024" max="1025" width="11.453125" style="1" customWidth="1"/>
  </cols>
  <sheetData>
    <row r="1" spans="1:13" ht="15" customHeight="1">
      <c r="A1" s="2" t="s">
        <v>1</v>
      </c>
      <c r="B1" s="3"/>
      <c r="C1" s="4"/>
      <c r="D1" s="4"/>
      <c r="E1" s="4"/>
      <c r="F1" s="4"/>
      <c r="G1" s="4"/>
      <c r="H1" s="4"/>
      <c r="I1" s="4"/>
      <c r="J1" s="4"/>
      <c r="K1" s="4"/>
      <c r="L1" s="4"/>
      <c r="M1" s="4"/>
    </row>
    <row r="3" spans="1:13" ht="17.5">
      <c r="A3" s="5" t="s">
        <v>2</v>
      </c>
      <c r="B3" s="4"/>
      <c r="C3" s="4"/>
      <c r="D3" s="4"/>
      <c r="E3" s="4"/>
      <c r="F3" s="4"/>
      <c r="G3" s="4"/>
      <c r="H3" s="4"/>
      <c r="I3" s="4"/>
      <c r="J3" s="4"/>
      <c r="K3" s="4"/>
      <c r="L3" s="4"/>
      <c r="M3" s="4"/>
    </row>
    <row r="4" spans="1:13" ht="17.5">
      <c r="A4" s="6" t="s">
        <v>3</v>
      </c>
      <c r="B4" s="7"/>
      <c r="C4" s="4"/>
      <c r="D4" s="4"/>
      <c r="E4" s="4"/>
      <c r="F4" s="4"/>
      <c r="G4" s="4"/>
      <c r="H4" s="4"/>
      <c r="I4" s="4"/>
      <c r="J4" s="4"/>
      <c r="K4" s="4"/>
      <c r="L4" s="4"/>
      <c r="M4" s="4"/>
    </row>
    <row r="5" spans="1:13" ht="17.5">
      <c r="A5" s="7"/>
      <c r="B5" s="8" t="s">
        <v>4</v>
      </c>
      <c r="C5" s="8" t="s">
        <v>5</v>
      </c>
      <c r="D5" s="8" t="s">
        <v>6</v>
      </c>
      <c r="E5" s="8" t="s">
        <v>7</v>
      </c>
      <c r="F5" s="8" t="s">
        <v>8</v>
      </c>
      <c r="G5" s="8" t="s">
        <v>9</v>
      </c>
      <c r="H5" s="8" t="s">
        <v>10</v>
      </c>
      <c r="I5" s="8" t="s">
        <v>11</v>
      </c>
      <c r="J5" s="8" t="s">
        <v>12</v>
      </c>
      <c r="K5" s="8" t="s">
        <v>13</v>
      </c>
      <c r="L5" s="8" t="s">
        <v>14</v>
      </c>
      <c r="M5" s="8" t="s">
        <v>15</v>
      </c>
    </row>
    <row r="6" spans="1:13" ht="17.5">
      <c r="A6" s="9" t="s">
        <v>16</v>
      </c>
      <c r="B6" s="10"/>
      <c r="C6" s="11"/>
      <c r="D6" s="5"/>
      <c r="E6" s="11"/>
      <c r="F6" s="5"/>
      <c r="G6" s="11"/>
      <c r="H6" s="5"/>
      <c r="I6" s="12"/>
      <c r="J6" s="6"/>
      <c r="K6" s="12"/>
      <c r="L6" s="6"/>
      <c r="M6" s="12"/>
    </row>
    <row r="7" spans="1:13" ht="17.5">
      <c r="A7" s="3" t="s">
        <v>17</v>
      </c>
      <c r="B7" s="13"/>
      <c r="C7" s="13"/>
      <c r="D7" s="4"/>
      <c r="E7" s="13"/>
      <c r="F7" s="4"/>
      <c r="G7" s="13"/>
      <c r="H7" s="4"/>
      <c r="I7" s="13"/>
      <c r="J7" s="4"/>
      <c r="K7" s="13"/>
      <c r="L7" s="4"/>
      <c r="M7" s="13"/>
    </row>
    <row r="8" spans="1:13" ht="17.5">
      <c r="A8" s="3" t="s">
        <v>18</v>
      </c>
      <c r="B8" s="11"/>
      <c r="C8" s="11"/>
      <c r="D8" s="5"/>
      <c r="E8" s="11"/>
      <c r="F8" s="5"/>
      <c r="G8" s="11"/>
      <c r="H8" s="5"/>
      <c r="I8" s="12"/>
      <c r="J8" s="6"/>
      <c r="K8" s="12"/>
      <c r="L8" s="6"/>
      <c r="M8" s="12"/>
    </row>
    <row r="9" spans="1:13" ht="17.5">
      <c r="A9" s="3" t="s">
        <v>19</v>
      </c>
      <c r="B9" s="13"/>
      <c r="C9" s="13"/>
      <c r="D9" s="4"/>
      <c r="E9" s="13"/>
      <c r="F9" s="4"/>
      <c r="G9" s="13"/>
      <c r="H9" s="4"/>
      <c r="I9" s="13"/>
      <c r="J9" s="4"/>
      <c r="K9" s="13"/>
      <c r="L9" s="4"/>
      <c r="M9" s="13"/>
    </row>
    <row r="10" spans="1:13" ht="17.5">
      <c r="A10" s="3" t="s">
        <v>20</v>
      </c>
      <c r="B10" s="11"/>
      <c r="C10" s="11"/>
      <c r="D10" s="5"/>
      <c r="E10" s="11"/>
      <c r="F10" s="5"/>
      <c r="G10" s="11"/>
      <c r="H10" s="6"/>
      <c r="I10" s="12"/>
      <c r="J10" s="6"/>
      <c r="K10" s="12"/>
      <c r="L10" s="6"/>
      <c r="M10" s="12"/>
    </row>
    <row r="11" spans="1:13" ht="17.5">
      <c r="A11" s="3" t="s">
        <v>21</v>
      </c>
      <c r="B11" s="13"/>
      <c r="C11" s="13"/>
      <c r="D11" s="4"/>
      <c r="E11" s="13"/>
      <c r="F11" s="4"/>
      <c r="G11" s="13"/>
      <c r="H11" s="4"/>
      <c r="I11" s="13"/>
      <c r="J11" s="4"/>
      <c r="K11" s="13"/>
      <c r="L11" s="4"/>
      <c r="M11" s="13"/>
    </row>
    <row r="12" spans="1:13" ht="17.5">
      <c r="A12" s="3" t="s">
        <v>22</v>
      </c>
      <c r="B12" s="11"/>
      <c r="C12" s="11"/>
      <c r="D12" s="5"/>
      <c r="E12" s="11"/>
      <c r="F12" s="5"/>
      <c r="G12" s="11"/>
      <c r="H12" s="5"/>
      <c r="I12" s="12"/>
      <c r="J12" s="6"/>
      <c r="K12" s="12"/>
      <c r="L12" s="6"/>
      <c r="M12" s="12"/>
    </row>
    <row r="13" spans="1:13" ht="17.5">
      <c r="A13" s="3" t="s">
        <v>23</v>
      </c>
      <c r="B13" s="13"/>
      <c r="C13" s="13"/>
      <c r="D13" s="4"/>
      <c r="E13" s="13"/>
      <c r="F13" s="4"/>
      <c r="G13" s="13"/>
      <c r="H13" s="4"/>
      <c r="I13" s="13"/>
      <c r="J13" s="4"/>
      <c r="K13" s="13"/>
      <c r="L13" s="4"/>
      <c r="M13" s="13"/>
    </row>
    <row r="14" spans="1:13" ht="17.5">
      <c r="A14" s="3" t="s">
        <v>24</v>
      </c>
      <c r="B14" s="11"/>
      <c r="C14" s="11"/>
      <c r="D14" s="5"/>
      <c r="E14" s="11"/>
      <c r="F14" s="5"/>
      <c r="G14" s="11"/>
      <c r="H14" s="5"/>
      <c r="I14" s="12"/>
      <c r="J14" s="6"/>
      <c r="K14" s="12"/>
      <c r="L14" s="6"/>
      <c r="M14" s="12"/>
    </row>
    <row r="15" spans="1:13" ht="17.5">
      <c r="A15" s="3" t="s">
        <v>25</v>
      </c>
      <c r="B15" s="11"/>
      <c r="C15" s="11"/>
      <c r="D15" s="5"/>
      <c r="E15" s="11"/>
      <c r="F15" s="5"/>
      <c r="G15" s="11"/>
      <c r="H15" s="5"/>
      <c r="I15" s="12"/>
      <c r="J15" s="6"/>
      <c r="K15" s="12"/>
      <c r="L15" s="6"/>
      <c r="M15" s="12"/>
    </row>
    <row r="16" spans="1:13" ht="17.5">
      <c r="A16" s="3" t="s">
        <v>26</v>
      </c>
      <c r="B16" s="13"/>
      <c r="C16" s="13"/>
      <c r="D16" s="4"/>
      <c r="E16" s="13"/>
      <c r="F16" s="4"/>
      <c r="G16" s="11"/>
      <c r="H16" s="5"/>
      <c r="I16" s="11"/>
      <c r="J16" s="6"/>
      <c r="K16" s="12"/>
      <c r="L16" s="6"/>
      <c r="M16" s="12"/>
    </row>
    <row r="17" spans="1:13" ht="17.5">
      <c r="A17" s="3" t="s">
        <v>27</v>
      </c>
      <c r="B17" s="13"/>
      <c r="C17" s="13"/>
      <c r="D17" s="4"/>
      <c r="E17" s="13"/>
      <c r="F17" s="4"/>
      <c r="G17" s="11"/>
      <c r="H17" s="5"/>
      <c r="I17" s="11"/>
      <c r="J17" s="6"/>
      <c r="K17" s="12"/>
      <c r="L17" s="6"/>
      <c r="M17" s="12"/>
    </row>
    <row r="18" spans="1:13" s="19" customFormat="1" ht="17.5">
      <c r="A18" s="3" t="s">
        <v>77</v>
      </c>
      <c r="B18" s="13"/>
      <c r="C18" s="13"/>
      <c r="D18" s="4"/>
      <c r="E18" s="13"/>
      <c r="F18" s="4"/>
      <c r="G18" s="11"/>
      <c r="H18" s="5"/>
      <c r="I18" s="6"/>
      <c r="J18" s="6"/>
      <c r="K18" s="12"/>
      <c r="L18" s="6"/>
      <c r="M18" s="12"/>
    </row>
    <row r="19" spans="1:13" ht="17.5">
      <c r="A19" s="3" t="s">
        <v>28</v>
      </c>
      <c r="B19" s="11"/>
      <c r="C19" s="11"/>
      <c r="D19" s="5"/>
      <c r="E19" s="11"/>
      <c r="F19" s="5"/>
      <c r="G19" s="11"/>
      <c r="H19" s="6"/>
      <c r="I19" s="12"/>
      <c r="J19" s="6"/>
      <c r="K19" s="12"/>
      <c r="L19" s="6"/>
      <c r="M19" s="12"/>
    </row>
    <row r="20" spans="1:13" ht="17.5">
      <c r="A20" s="3" t="s">
        <v>29</v>
      </c>
      <c r="B20" s="13"/>
      <c r="C20" s="13"/>
      <c r="D20" s="4"/>
      <c r="E20" s="13"/>
      <c r="F20" s="4"/>
      <c r="G20" s="13"/>
      <c r="H20" s="4"/>
      <c r="I20" s="13"/>
      <c r="J20" s="4"/>
      <c r="K20" s="13"/>
      <c r="L20" s="4"/>
      <c r="M20" s="13"/>
    </row>
    <row r="21" spans="1:13" ht="17.5">
      <c r="A21" s="3" t="s">
        <v>30</v>
      </c>
      <c r="B21" s="13"/>
      <c r="C21" s="13"/>
      <c r="D21" s="4"/>
      <c r="E21" s="13"/>
      <c r="F21" s="4"/>
      <c r="G21" s="11"/>
      <c r="H21" s="5"/>
      <c r="I21" s="11"/>
      <c r="J21" s="6"/>
      <c r="K21" s="12"/>
      <c r="L21" s="6"/>
      <c r="M21" s="12"/>
    </row>
    <row r="22" spans="1:13" ht="17.5">
      <c r="A22" s="3" t="s">
        <v>31</v>
      </c>
      <c r="B22" s="13"/>
      <c r="C22" s="13"/>
      <c r="D22" s="4"/>
      <c r="E22" s="13"/>
      <c r="F22" s="4"/>
      <c r="G22" s="11"/>
      <c r="H22" s="5"/>
      <c r="I22" s="11"/>
      <c r="J22" s="6"/>
      <c r="K22" s="12"/>
      <c r="L22" s="6"/>
      <c r="M22" s="12"/>
    </row>
    <row r="23" spans="1:13" ht="17.5">
      <c r="A23" s="3" t="s">
        <v>32</v>
      </c>
      <c r="B23" s="13"/>
      <c r="C23" s="13"/>
      <c r="D23" s="4"/>
      <c r="E23" s="13"/>
      <c r="F23" s="5"/>
      <c r="G23" s="11"/>
      <c r="H23" s="5"/>
      <c r="I23" s="12"/>
      <c r="J23" s="6"/>
      <c r="K23" s="12"/>
      <c r="L23" s="6"/>
      <c r="M23" s="12"/>
    </row>
    <row r="24" spans="1:13" ht="17.5">
      <c r="A24" s="3" t="s">
        <v>33</v>
      </c>
      <c r="B24" s="13"/>
      <c r="C24" s="13"/>
      <c r="D24" s="4"/>
      <c r="E24" s="13"/>
      <c r="F24" s="5"/>
      <c r="G24" s="11"/>
      <c r="H24" s="5"/>
      <c r="I24" s="12"/>
      <c r="J24" s="6"/>
      <c r="K24" s="12"/>
      <c r="L24" s="6"/>
      <c r="M24" s="12"/>
    </row>
    <row r="25" spans="1:13" ht="17.5">
      <c r="A25" s="3" t="s">
        <v>34</v>
      </c>
      <c r="B25" s="13"/>
      <c r="C25" s="13"/>
      <c r="D25" s="4"/>
      <c r="E25" s="13"/>
      <c r="F25" s="5"/>
      <c r="G25" s="11"/>
      <c r="H25" s="5"/>
      <c r="I25" s="12"/>
      <c r="J25" s="6"/>
      <c r="K25" s="12"/>
      <c r="L25" s="6"/>
      <c r="M25" s="12"/>
    </row>
    <row r="26" spans="1:13" ht="17.5">
      <c r="A26" s="3" t="s">
        <v>35</v>
      </c>
      <c r="B26" s="13"/>
      <c r="C26" s="13"/>
      <c r="D26" s="4"/>
      <c r="E26" s="13"/>
      <c r="F26" s="4"/>
      <c r="G26" s="13"/>
      <c r="H26" s="4"/>
      <c r="I26" s="13"/>
      <c r="J26" s="4"/>
      <c r="K26" s="13"/>
      <c r="L26" s="4"/>
      <c r="M26" s="13"/>
    </row>
    <row r="27" spans="1:13" ht="17.5">
      <c r="A27" s="3" t="s">
        <v>36</v>
      </c>
      <c r="B27" s="13"/>
      <c r="C27" s="13"/>
      <c r="D27" s="4"/>
      <c r="E27" s="13"/>
      <c r="F27" s="4"/>
      <c r="G27" s="13"/>
      <c r="H27" s="4"/>
      <c r="I27" s="13"/>
      <c r="J27" s="4"/>
      <c r="K27" s="13"/>
      <c r="L27" s="4"/>
      <c r="M27" s="13"/>
    </row>
    <row r="28" spans="1:13" ht="17.5">
      <c r="A28" s="14" t="s">
        <v>37</v>
      </c>
      <c r="B28" s="15"/>
      <c r="C28" s="15"/>
      <c r="D28" s="7"/>
      <c r="E28" s="15"/>
      <c r="F28" s="7"/>
      <c r="G28" s="16"/>
      <c r="H28" s="17"/>
      <c r="I28" s="16"/>
      <c r="J28" s="17"/>
      <c r="K28" s="16"/>
      <c r="L28" s="17"/>
      <c r="M28" s="16"/>
    </row>
    <row r="29" spans="1:13" ht="17.5">
      <c r="A29" s="4"/>
      <c r="B29" s="4"/>
      <c r="C29" s="4"/>
      <c r="D29" s="4"/>
      <c r="E29" s="4"/>
      <c r="F29" s="4"/>
      <c r="G29" s="18" t="s">
        <v>38</v>
      </c>
      <c r="H29" s="4"/>
      <c r="I29" s="4"/>
      <c r="J29" s="4"/>
      <c r="K29" s="4"/>
      <c r="L29" s="4"/>
      <c r="M29" s="4"/>
    </row>
  </sheetData>
  <customSheetViews>
    <customSheetView guid="{ED3D59C6-95D8-425D-B182-A385DC662969}">
      <pageMargins left="0" right="0" top="0.13888888888888901" bottom="0.13888888888888901" header="0" footer="0"/>
      <pageSetup paperSize="9" firstPageNumber="0" pageOrder="overThenDown" orientation="portrait" horizontalDpi="300" verticalDpi="300"/>
      <headerFooter>
        <oddHeader>&amp;C&amp;A</oddHeader>
        <oddFooter>&amp;CPage &amp;P</oddFooter>
      </headerFooter>
    </customSheetView>
  </customSheetViews>
  <pageMargins left="0" right="0" top="0.13888888888888901" bottom="0.13888888888888901" header="0" footer="0"/>
  <pageSetup paperSize="9" firstPageNumber="0" pageOrder="overThenDown" orientation="portrait" horizontalDpi="300" verticalDpi="300"/>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sheetPr>
  <dimension ref="A1:AA90"/>
  <sheetViews>
    <sheetView showGridLines="0" tabSelected="1" topLeftCell="A52" zoomScale="118" zoomScaleNormal="118" zoomScaleSheetLayoutView="100" workbookViewId="0">
      <selection activeCell="A76" sqref="A76"/>
    </sheetView>
  </sheetViews>
  <sheetFormatPr baseColWidth="10" defaultColWidth="11.54296875" defaultRowHeight="12.5"/>
  <cols>
    <col min="1" max="1" width="21.81640625" style="21" customWidth="1"/>
    <col min="2" max="2" width="11.81640625" style="21" customWidth="1"/>
    <col min="3" max="4" width="9.453125" style="21" customWidth="1"/>
    <col min="5" max="6" width="10.453125" style="21" customWidth="1"/>
    <col min="7" max="7" width="9.453125" style="21" customWidth="1"/>
    <col min="8" max="8" width="9.54296875" style="21" customWidth="1"/>
    <col min="9" max="9" width="9.453125" style="21" customWidth="1"/>
    <col min="10" max="10" width="10.453125" style="21" customWidth="1"/>
    <col min="11" max="11" width="9.453125" style="21" customWidth="1"/>
    <col min="12" max="12" width="10" style="21" customWidth="1"/>
    <col min="13" max="14" width="9.54296875" style="21" customWidth="1"/>
    <col min="15" max="15" width="14" style="21" customWidth="1"/>
    <col min="16" max="16" width="13.81640625" style="21" customWidth="1"/>
    <col min="17" max="18" width="12.1796875" style="21" customWidth="1"/>
    <col min="19" max="19" width="16.54296875" style="21" customWidth="1"/>
    <col min="20" max="20" width="13.1796875" style="21" customWidth="1"/>
    <col min="21" max="21" width="13.453125" style="21" customWidth="1"/>
    <col min="22" max="22" width="13.54296875" style="21" customWidth="1"/>
    <col min="23" max="23" width="11.54296875" style="21"/>
    <col min="24" max="24" width="13" style="21" customWidth="1"/>
    <col min="25" max="16384" width="11.54296875" style="21"/>
  </cols>
  <sheetData>
    <row r="1" spans="1:26" ht="16">
      <c r="A1" s="459"/>
      <c r="B1" s="459"/>
      <c r="C1" s="459"/>
      <c r="D1" s="459"/>
      <c r="E1" s="459"/>
      <c r="F1" s="459"/>
      <c r="G1" s="459"/>
      <c r="H1" s="459"/>
      <c r="I1" s="459"/>
      <c r="J1" s="459"/>
      <c r="K1" s="459"/>
      <c r="L1" s="459"/>
      <c r="M1" s="459"/>
      <c r="N1" s="75"/>
      <c r="Q1" s="65"/>
      <c r="R1" s="65"/>
      <c r="U1" s="105" t="s">
        <v>91</v>
      </c>
    </row>
    <row r="2" spans="1:26" ht="13">
      <c r="A2" s="22"/>
      <c r="Q2" s="65"/>
      <c r="R2" s="65"/>
    </row>
    <row r="3" spans="1:26" ht="13">
      <c r="A3" s="22"/>
      <c r="Q3" s="65"/>
      <c r="R3" s="65"/>
    </row>
    <row r="4" spans="1:26" ht="13">
      <c r="A4" s="22"/>
      <c r="Q4" s="65"/>
      <c r="R4" s="65"/>
    </row>
    <row r="5" spans="1:26" ht="13">
      <c r="A5" s="22"/>
      <c r="Q5" s="65"/>
      <c r="R5" s="65"/>
    </row>
    <row r="6" spans="1:26" ht="13">
      <c r="A6" s="22"/>
      <c r="Q6" s="65"/>
      <c r="R6" s="65"/>
    </row>
    <row r="7" spans="1:26" ht="14">
      <c r="B7" s="23"/>
      <c r="C7" s="23"/>
      <c r="D7" s="23"/>
      <c r="E7" s="24"/>
      <c r="F7" s="24"/>
      <c r="G7" s="24"/>
      <c r="H7" s="24"/>
      <c r="I7" s="24"/>
      <c r="J7" s="24"/>
      <c r="K7" s="25"/>
      <c r="L7" s="25"/>
      <c r="M7" s="25"/>
      <c r="N7" s="25"/>
      <c r="O7" s="25"/>
      <c r="P7" s="25"/>
      <c r="Q7" s="25"/>
      <c r="R7" s="25"/>
      <c r="S7" s="25"/>
      <c r="V7" s="26"/>
    </row>
    <row r="8" spans="1:26" ht="26.25" customHeight="1">
      <c r="B8" s="23"/>
      <c r="C8" s="23"/>
      <c r="D8" s="23"/>
      <c r="E8" s="24"/>
      <c r="F8" s="24"/>
      <c r="G8" s="24"/>
      <c r="H8" s="24"/>
      <c r="I8" s="24"/>
      <c r="J8" s="24"/>
      <c r="K8" s="25"/>
      <c r="L8" s="25"/>
      <c r="M8" s="25"/>
      <c r="N8" s="25"/>
      <c r="O8" s="25"/>
      <c r="P8" s="25"/>
      <c r="Q8" s="25"/>
      <c r="R8" s="25"/>
      <c r="S8" s="25"/>
      <c r="V8" s="26"/>
    </row>
    <row r="9" spans="1:26" ht="14.5" thickBot="1">
      <c r="B9" s="23"/>
      <c r="C9" s="23"/>
      <c r="D9" s="23"/>
      <c r="E9" s="24"/>
      <c r="F9" s="24"/>
      <c r="G9" s="24"/>
      <c r="H9" s="24"/>
      <c r="I9" s="24"/>
      <c r="J9" s="24"/>
      <c r="K9" s="25"/>
      <c r="L9" s="25"/>
      <c r="M9" s="25"/>
      <c r="N9" s="25"/>
      <c r="O9" s="25"/>
      <c r="P9" s="25"/>
      <c r="Q9" s="25"/>
      <c r="R9" s="25"/>
      <c r="S9" s="25"/>
      <c r="V9" s="26"/>
    </row>
    <row r="10" spans="1:26" ht="17.5">
      <c r="A10" s="79" t="s">
        <v>131</v>
      </c>
      <c r="B10" s="80"/>
      <c r="C10" s="80"/>
      <c r="D10" s="80"/>
      <c r="E10" s="80"/>
      <c r="F10" s="173"/>
      <c r="G10" s="81"/>
      <c r="H10" s="81"/>
      <c r="I10" s="81"/>
      <c r="J10" s="81"/>
      <c r="K10" s="82"/>
      <c r="L10" s="82"/>
      <c r="M10" s="82"/>
      <c r="N10" s="82"/>
      <c r="O10" s="82"/>
      <c r="P10" s="82"/>
      <c r="Q10" s="82"/>
      <c r="R10" s="82"/>
      <c r="S10" s="83"/>
      <c r="U10" s="64" t="s">
        <v>83</v>
      </c>
      <c r="V10" s="44"/>
      <c r="W10" s="45"/>
      <c r="X10" s="45"/>
      <c r="Y10" s="46"/>
    </row>
    <row r="11" spans="1:26" ht="14.25" customHeight="1">
      <c r="A11" s="172" t="s">
        <v>76</v>
      </c>
      <c r="B11" s="61"/>
      <c r="C11" s="61"/>
      <c r="D11" s="61"/>
      <c r="E11" s="61"/>
      <c r="F11" s="61"/>
      <c r="G11" s="175"/>
      <c r="H11" s="21" t="s">
        <v>111</v>
      </c>
      <c r="I11" s="39"/>
      <c r="J11" s="39"/>
      <c r="N11" s="40"/>
      <c r="O11" s="174"/>
      <c r="P11" s="39" t="s">
        <v>102</v>
      </c>
      <c r="Q11" s="40"/>
      <c r="R11" s="40"/>
      <c r="S11" s="84"/>
      <c r="U11" s="67" t="s">
        <v>180</v>
      </c>
      <c r="V11" s="60"/>
      <c r="W11" s="63"/>
      <c r="X11" s="63"/>
      <c r="Y11" s="62"/>
    </row>
    <row r="12" spans="1:26" ht="14.25" customHeight="1">
      <c r="A12" s="85"/>
      <c r="B12" s="61"/>
      <c r="C12" s="61"/>
      <c r="D12" s="61"/>
      <c r="E12" s="61"/>
      <c r="F12" s="61"/>
      <c r="G12" s="71"/>
      <c r="H12" s="21" t="s">
        <v>110</v>
      </c>
      <c r="I12" s="39"/>
      <c r="J12" s="39"/>
      <c r="K12" s="40"/>
      <c r="L12" s="40"/>
      <c r="M12" s="40"/>
      <c r="N12" s="40"/>
      <c r="O12" s="40"/>
      <c r="P12" s="40"/>
      <c r="Q12" s="40"/>
      <c r="R12" s="40"/>
      <c r="S12" s="84"/>
      <c r="U12" s="47"/>
      <c r="V12" s="60"/>
      <c r="W12" s="48"/>
      <c r="X12" s="48"/>
      <c r="Y12" s="49"/>
    </row>
    <row r="13" spans="1:26" ht="12" customHeight="1" thickBot="1">
      <c r="A13" s="86" t="s">
        <v>53</v>
      </c>
      <c r="B13" s="87"/>
      <c r="C13" s="87"/>
      <c r="D13" s="87"/>
      <c r="E13" s="87"/>
      <c r="F13" s="87"/>
      <c r="G13" s="88"/>
      <c r="H13" s="88"/>
      <c r="I13" s="88"/>
      <c r="J13" s="88"/>
      <c r="K13" s="89"/>
      <c r="L13" s="89"/>
      <c r="M13" s="89"/>
      <c r="N13" s="89"/>
      <c r="O13" s="89"/>
      <c r="P13" s="89"/>
      <c r="Q13" s="89"/>
      <c r="R13" s="89"/>
      <c r="S13" s="90"/>
      <c r="T13" s="27"/>
      <c r="U13" s="52" t="s">
        <v>55</v>
      </c>
      <c r="V13" s="50"/>
      <c r="W13" s="50"/>
      <c r="X13" s="50"/>
      <c r="Y13" s="51"/>
    </row>
    <row r="14" spans="1:26" ht="67.5" customHeight="1" thickBot="1">
      <c r="A14" s="99" t="s">
        <v>56</v>
      </c>
      <c r="B14" s="98"/>
      <c r="C14" s="100" t="s">
        <v>39</v>
      </c>
      <c r="D14" s="101" t="s">
        <v>40</v>
      </c>
      <c r="E14" s="101" t="s">
        <v>41</v>
      </c>
      <c r="F14" s="101" t="s">
        <v>42</v>
      </c>
      <c r="G14" s="101" t="s">
        <v>43</v>
      </c>
      <c r="H14" s="101" t="s">
        <v>44</v>
      </c>
      <c r="I14" s="101" t="s">
        <v>45</v>
      </c>
      <c r="J14" s="103" t="s">
        <v>46</v>
      </c>
      <c r="K14" s="216" t="s">
        <v>47</v>
      </c>
      <c r="L14" s="217" t="s">
        <v>48</v>
      </c>
      <c r="M14" s="217" t="s">
        <v>49</v>
      </c>
      <c r="N14" s="217" t="s">
        <v>81</v>
      </c>
      <c r="O14" s="218" t="s">
        <v>82</v>
      </c>
      <c r="P14" s="206" t="s">
        <v>50</v>
      </c>
      <c r="Q14" s="443" t="s">
        <v>133</v>
      </c>
      <c r="R14" s="444" t="s">
        <v>119</v>
      </c>
      <c r="S14" s="445" t="s">
        <v>120</v>
      </c>
      <c r="T14" s="29"/>
      <c r="U14" s="41" t="s">
        <v>54</v>
      </c>
      <c r="V14" s="42" t="s">
        <v>51</v>
      </c>
      <c r="W14" s="42" t="s">
        <v>134</v>
      </c>
      <c r="X14" s="43" t="s">
        <v>117</v>
      </c>
      <c r="Y14" s="43" t="s">
        <v>118</v>
      </c>
      <c r="Z14" s="33"/>
    </row>
    <row r="15" spans="1:26" ht="16">
      <c r="A15" s="460" t="s">
        <v>84</v>
      </c>
      <c r="B15" s="159" t="s">
        <v>2</v>
      </c>
      <c r="C15" s="160">
        <v>6650</v>
      </c>
      <c r="D15" s="161">
        <v>18290</v>
      </c>
      <c r="E15" s="161">
        <v>48170</v>
      </c>
      <c r="F15" s="161">
        <v>82430</v>
      </c>
      <c r="G15" s="161">
        <v>8600</v>
      </c>
      <c r="H15" s="161">
        <v>3690</v>
      </c>
      <c r="I15" s="161">
        <v>42900</v>
      </c>
      <c r="J15" s="162">
        <v>34710</v>
      </c>
      <c r="K15" s="219">
        <v>9460</v>
      </c>
      <c r="L15" s="220">
        <v>1800</v>
      </c>
      <c r="M15" s="220">
        <v>2970</v>
      </c>
      <c r="N15" s="220">
        <v>2320</v>
      </c>
      <c r="O15" s="221">
        <v>290</v>
      </c>
      <c r="P15" s="207">
        <f>SUM(C15:O15)</f>
        <v>262280</v>
      </c>
      <c r="Q15" s="200">
        <f>P15/U15-1</f>
        <v>0.23318522697886546</v>
      </c>
      <c r="R15" s="201">
        <f>P15/X15-1</f>
        <v>7.9315802338874253E-2</v>
      </c>
      <c r="S15" s="440">
        <f>P15/Y15-1</f>
        <v>5.9645242936137155E-3</v>
      </c>
      <c r="T15" s="429"/>
      <c r="U15" s="258">
        <v>212685</v>
      </c>
      <c r="V15" s="36">
        <v>198130</v>
      </c>
      <c r="W15" s="36">
        <v>14555</v>
      </c>
      <c r="X15" s="36">
        <v>243005.8</v>
      </c>
      <c r="Y15" s="36">
        <v>260724.9</v>
      </c>
    </row>
    <row r="16" spans="1:26" ht="16.5" thickBot="1">
      <c r="A16" s="458"/>
      <c r="B16" s="102" t="s">
        <v>70</v>
      </c>
      <c r="C16" s="254">
        <v>53</v>
      </c>
      <c r="D16" s="71">
        <v>47</v>
      </c>
      <c r="E16" s="71">
        <v>57</v>
      </c>
      <c r="F16" s="71">
        <v>54</v>
      </c>
      <c r="G16" s="71">
        <v>53</v>
      </c>
      <c r="H16" s="71">
        <v>46</v>
      </c>
      <c r="I16" s="71">
        <v>54</v>
      </c>
      <c r="J16" s="71">
        <v>54</v>
      </c>
      <c r="K16" s="255">
        <v>57</v>
      </c>
      <c r="L16" s="256">
        <v>41</v>
      </c>
      <c r="M16" s="256">
        <v>50</v>
      </c>
      <c r="N16" s="256">
        <v>35</v>
      </c>
      <c r="O16" s="257">
        <v>50</v>
      </c>
      <c r="P16" s="71">
        <f>SUMPRODUCT(C16:O16,C15:O15)/P15</f>
        <v>53.69334299222205</v>
      </c>
      <c r="Q16" s="427">
        <f>P16-U16</f>
        <v>4.8044462670181076</v>
      </c>
      <c r="R16" s="427">
        <f>P16-X16</f>
        <v>6.0527772114875944</v>
      </c>
      <c r="S16" s="436">
        <f>O16-Y16</f>
        <v>-1.4218948784715195</v>
      </c>
      <c r="T16" s="430"/>
      <c r="U16" s="259">
        <v>48.888896725203942</v>
      </c>
      <c r="V16" s="37">
        <v>49.158330389138442</v>
      </c>
      <c r="W16" s="37">
        <v>45.221229817931984</v>
      </c>
      <c r="X16" s="37">
        <v>47.640565780734455</v>
      </c>
      <c r="Y16" s="37">
        <v>51.42189487847152</v>
      </c>
    </row>
    <row r="17" spans="1:25" ht="16">
      <c r="A17" s="460" t="s">
        <v>85</v>
      </c>
      <c r="B17" s="159" t="s">
        <v>2</v>
      </c>
      <c r="C17" s="163">
        <v>0</v>
      </c>
      <c r="D17" s="164">
        <v>180</v>
      </c>
      <c r="E17" s="164">
        <v>520</v>
      </c>
      <c r="F17" s="164">
        <v>400</v>
      </c>
      <c r="G17" s="164">
        <v>50</v>
      </c>
      <c r="H17" s="164">
        <v>20</v>
      </c>
      <c r="I17" s="164">
        <v>190</v>
      </c>
      <c r="J17" s="165">
        <v>60</v>
      </c>
      <c r="K17" s="222">
        <v>180</v>
      </c>
      <c r="L17" s="223">
        <v>65</v>
      </c>
      <c r="M17" s="223">
        <v>255</v>
      </c>
      <c r="N17" s="223">
        <v>30</v>
      </c>
      <c r="O17" s="224">
        <v>20</v>
      </c>
      <c r="P17" s="210">
        <f>SUM(C17:O17)</f>
        <v>1970</v>
      </c>
      <c r="Q17" s="211">
        <f>P17/U17-1</f>
        <v>-0.37952755905511815</v>
      </c>
      <c r="R17" s="212">
        <f>P17/X17-1</f>
        <v>-0.14422241529105129</v>
      </c>
      <c r="S17" s="437">
        <f>P17/Y17-1</f>
        <v>0.29647910496873964</v>
      </c>
      <c r="T17" s="429"/>
      <c r="U17" s="258">
        <v>3175</v>
      </c>
      <c r="V17" s="36">
        <v>2670</v>
      </c>
      <c r="W17" s="36">
        <v>505</v>
      </c>
      <c r="X17" s="36">
        <v>2302</v>
      </c>
      <c r="Y17" s="36">
        <v>1519.5</v>
      </c>
    </row>
    <row r="18" spans="1:25" ht="16.5" thickBot="1">
      <c r="A18" s="458"/>
      <c r="B18" s="102" t="s">
        <v>70</v>
      </c>
      <c r="C18" s="254">
        <v>0</v>
      </c>
      <c r="D18" s="71">
        <v>37</v>
      </c>
      <c r="E18" s="71">
        <v>50</v>
      </c>
      <c r="F18" s="71">
        <v>40</v>
      </c>
      <c r="G18" s="71">
        <v>42</v>
      </c>
      <c r="H18" s="71">
        <v>30</v>
      </c>
      <c r="I18" s="71">
        <v>49</v>
      </c>
      <c r="J18" s="71">
        <v>52</v>
      </c>
      <c r="K18" s="255">
        <v>54</v>
      </c>
      <c r="L18" s="256">
        <v>37</v>
      </c>
      <c r="M18" s="256">
        <v>48</v>
      </c>
      <c r="N18" s="256">
        <v>31</v>
      </c>
      <c r="O18" s="257">
        <v>40</v>
      </c>
      <c r="P18" s="71">
        <f>SUMPRODUCT(C18:O18,C17:O17)/P17</f>
        <v>45.626903553299492</v>
      </c>
      <c r="Q18" s="427">
        <f>P18-U18</f>
        <v>4.2631240257404386</v>
      </c>
      <c r="R18" s="427">
        <f>P18-X18</f>
        <v>4.7124813117703894</v>
      </c>
      <c r="S18" s="436">
        <f>O18-Y18</f>
        <v>-2.2280355380059262</v>
      </c>
      <c r="T18" s="430"/>
      <c r="U18" s="259">
        <v>41.363779527559053</v>
      </c>
      <c r="V18" s="37">
        <v>41.312734082397007</v>
      </c>
      <c r="W18" s="37">
        <v>41.633663366336634</v>
      </c>
      <c r="X18" s="37">
        <v>40.914422241529103</v>
      </c>
      <c r="Y18" s="37">
        <v>42.228035538005926</v>
      </c>
    </row>
    <row r="19" spans="1:25" ht="16">
      <c r="A19" s="460" t="s">
        <v>86</v>
      </c>
      <c r="B19" s="159" t="s">
        <v>2</v>
      </c>
      <c r="C19" s="160">
        <v>1010</v>
      </c>
      <c r="D19" s="161">
        <v>320</v>
      </c>
      <c r="E19" s="161">
        <v>21370</v>
      </c>
      <c r="F19" s="161">
        <v>7870</v>
      </c>
      <c r="G19" s="161">
        <v>150</v>
      </c>
      <c r="H19" s="161">
        <v>0</v>
      </c>
      <c r="I19" s="161">
        <v>4560</v>
      </c>
      <c r="J19" s="162">
        <v>1050</v>
      </c>
      <c r="K19" s="219">
        <v>15450</v>
      </c>
      <c r="L19" s="220">
        <v>6980</v>
      </c>
      <c r="M19" s="220">
        <v>4655</v>
      </c>
      <c r="N19" s="220">
        <v>60</v>
      </c>
      <c r="O19" s="221">
        <v>185</v>
      </c>
      <c r="P19" s="207">
        <f>SUM(C19:O19)</f>
        <v>63660</v>
      </c>
      <c r="Q19" s="208">
        <f>P19/U19-1</f>
        <v>-0.13257937048644231</v>
      </c>
      <c r="R19" s="209">
        <f>P19/X19-1</f>
        <v>-0.23692304741721337</v>
      </c>
      <c r="S19" s="438">
        <f>P19/Y19-1</f>
        <v>-0.40141719134339804</v>
      </c>
      <c r="T19" s="429"/>
      <c r="U19" s="258">
        <v>73390</v>
      </c>
      <c r="V19" s="36">
        <v>43680</v>
      </c>
      <c r="W19" s="36">
        <v>29710</v>
      </c>
      <c r="X19" s="36">
        <v>83425.399999999994</v>
      </c>
      <c r="Y19" s="36">
        <v>106351.2</v>
      </c>
    </row>
    <row r="20" spans="1:25" ht="16.5" thickBot="1">
      <c r="A20" s="458"/>
      <c r="B20" s="102" t="s">
        <v>70</v>
      </c>
      <c r="C20" s="254">
        <v>45</v>
      </c>
      <c r="D20" s="71">
        <v>43</v>
      </c>
      <c r="E20" s="71">
        <v>50</v>
      </c>
      <c r="F20" s="71">
        <v>58</v>
      </c>
      <c r="G20" s="71">
        <v>40</v>
      </c>
      <c r="H20" s="71">
        <v>0</v>
      </c>
      <c r="I20" s="71">
        <v>52</v>
      </c>
      <c r="J20" s="71">
        <v>50</v>
      </c>
      <c r="K20" s="255">
        <v>47</v>
      </c>
      <c r="L20" s="256">
        <v>41</v>
      </c>
      <c r="M20" s="256">
        <v>45</v>
      </c>
      <c r="N20" s="256">
        <v>28</v>
      </c>
      <c r="O20" s="257">
        <v>50</v>
      </c>
      <c r="P20" s="71">
        <f>SUMPRODUCT(C20:O20,C19:O19)/P19</f>
        <v>48.892946905435124</v>
      </c>
      <c r="Q20" s="427">
        <f>P20-U20</f>
        <v>1.3761871288988132</v>
      </c>
      <c r="R20" s="427">
        <f>P20-X20</f>
        <v>4.1068601740559458</v>
      </c>
      <c r="S20" s="436">
        <f>O20-Y20</f>
        <v>3.1624645514107996</v>
      </c>
      <c r="T20" s="430"/>
      <c r="U20" s="259">
        <v>47.516759776536311</v>
      </c>
      <c r="V20" s="37">
        <v>50.296703296703299</v>
      </c>
      <c r="W20" s="37">
        <v>43.429653315382026</v>
      </c>
      <c r="X20" s="37">
        <v>44.786086731379179</v>
      </c>
      <c r="Y20" s="37">
        <v>46.8375354485892</v>
      </c>
    </row>
    <row r="21" spans="1:25" ht="16">
      <c r="A21" s="460" t="s">
        <v>87</v>
      </c>
      <c r="B21" s="159" t="s">
        <v>2</v>
      </c>
      <c r="C21" s="160">
        <v>90</v>
      </c>
      <c r="D21" s="161">
        <v>60</v>
      </c>
      <c r="E21" s="161">
        <v>810</v>
      </c>
      <c r="F21" s="161">
        <v>120</v>
      </c>
      <c r="G21" s="161">
        <v>10</v>
      </c>
      <c r="H21" s="161">
        <v>0</v>
      </c>
      <c r="I21" s="161">
        <v>310</v>
      </c>
      <c r="J21" s="162">
        <v>0</v>
      </c>
      <c r="K21" s="219">
        <v>560</v>
      </c>
      <c r="L21" s="220">
        <v>180</v>
      </c>
      <c r="M21" s="220">
        <v>90</v>
      </c>
      <c r="N21" s="220">
        <v>0</v>
      </c>
      <c r="O21" s="221">
        <v>0</v>
      </c>
      <c r="P21" s="207">
        <f>SUM(C21:O21)</f>
        <v>2230</v>
      </c>
      <c r="Q21" s="208">
        <f>P21/U21-1</f>
        <v>-0.20781527531083477</v>
      </c>
      <c r="R21" s="209">
        <f>P21/X21-1</f>
        <v>8.9766606822272443E-4</v>
      </c>
      <c r="S21" s="438">
        <f>P21/Y21-1</f>
        <v>0.80859691808596912</v>
      </c>
      <c r="T21" s="429"/>
      <c r="U21" s="258">
        <v>2815</v>
      </c>
      <c r="V21" s="36">
        <v>2035</v>
      </c>
      <c r="W21" s="36">
        <v>780</v>
      </c>
      <c r="X21" s="36">
        <v>2228</v>
      </c>
      <c r="Y21" s="36">
        <v>1233</v>
      </c>
    </row>
    <row r="22" spans="1:25" ht="16.5" thickBot="1">
      <c r="A22" s="458"/>
      <c r="B22" s="102" t="s">
        <v>70</v>
      </c>
      <c r="C22" s="254">
        <v>36</v>
      </c>
      <c r="D22" s="71">
        <v>35</v>
      </c>
      <c r="E22" s="71">
        <v>43</v>
      </c>
      <c r="F22" s="71">
        <v>45</v>
      </c>
      <c r="G22" s="71">
        <v>36</v>
      </c>
      <c r="H22" s="71">
        <v>0</v>
      </c>
      <c r="I22" s="71">
        <v>39</v>
      </c>
      <c r="J22" s="71">
        <v>0</v>
      </c>
      <c r="K22" s="255">
        <v>42</v>
      </c>
      <c r="L22" s="256">
        <v>37</v>
      </c>
      <c r="M22" s="256">
        <v>43</v>
      </c>
      <c r="N22" s="256">
        <v>0</v>
      </c>
      <c r="O22" s="257">
        <v>0</v>
      </c>
      <c r="P22" s="71">
        <f>SUMPRODUCT(C22:O22,C21:O21)/P21</f>
        <v>41.286995515695068</v>
      </c>
      <c r="Q22" s="427">
        <f>P22-U22</f>
        <v>-1.2955977347489807</v>
      </c>
      <c r="R22" s="427">
        <f>P22-X22</f>
        <v>3.1559362697345676</v>
      </c>
      <c r="S22" s="436">
        <f>O22-Y22</f>
        <v>-38.947688564476884</v>
      </c>
      <c r="T22" s="430"/>
      <c r="U22" s="259">
        <v>42.582593250444049</v>
      </c>
      <c r="V22" s="37">
        <v>44.633906633906633</v>
      </c>
      <c r="W22" s="37">
        <v>37.230769230769234</v>
      </c>
      <c r="X22" s="37">
        <v>38.1310592459605</v>
      </c>
      <c r="Y22" s="37">
        <v>38.947688564476884</v>
      </c>
    </row>
    <row r="23" spans="1:25" ht="16">
      <c r="A23" s="460" t="s">
        <v>57</v>
      </c>
      <c r="B23" s="159" t="s">
        <v>2</v>
      </c>
      <c r="C23" s="160">
        <v>50</v>
      </c>
      <c r="D23" s="161">
        <v>830</v>
      </c>
      <c r="E23" s="161">
        <v>70</v>
      </c>
      <c r="F23" s="161">
        <v>70</v>
      </c>
      <c r="G23" s="161">
        <v>100</v>
      </c>
      <c r="H23" s="161">
        <v>10</v>
      </c>
      <c r="I23" s="161">
        <v>420</v>
      </c>
      <c r="J23" s="162">
        <v>120</v>
      </c>
      <c r="K23" s="219">
        <v>45</v>
      </c>
      <c r="L23" s="220">
        <v>20</v>
      </c>
      <c r="M23" s="220">
        <v>30</v>
      </c>
      <c r="N23" s="220">
        <v>2485</v>
      </c>
      <c r="O23" s="221">
        <v>100</v>
      </c>
      <c r="P23" s="207">
        <f>SUM(C23:O23)</f>
        <v>4350</v>
      </c>
      <c r="Q23" s="208">
        <f>P23/U23-1</f>
        <v>-5.6399132321041212E-2</v>
      </c>
      <c r="R23" s="209">
        <f>P23/X23-1</f>
        <v>-0.12923372567859726</v>
      </c>
      <c r="S23" s="438">
        <f>P23/Y23-1</f>
        <v>1.4624588902106161E-2</v>
      </c>
      <c r="T23" s="429"/>
      <c r="U23" s="258">
        <v>4610</v>
      </c>
      <c r="V23" s="36">
        <v>1775</v>
      </c>
      <c r="W23" s="36">
        <v>2835</v>
      </c>
      <c r="X23" s="36">
        <v>4995.6000000000004</v>
      </c>
      <c r="Y23" s="36">
        <v>4287.3</v>
      </c>
    </row>
    <row r="24" spans="1:25" ht="16.5" thickBot="1">
      <c r="A24" s="458"/>
      <c r="B24" s="102" t="s">
        <v>70</v>
      </c>
      <c r="C24" s="254">
        <v>28</v>
      </c>
      <c r="D24" s="71">
        <v>34</v>
      </c>
      <c r="E24" s="71">
        <v>31</v>
      </c>
      <c r="F24" s="71">
        <v>38</v>
      </c>
      <c r="G24" s="71">
        <v>38.89</v>
      </c>
      <c r="H24" s="71">
        <v>32</v>
      </c>
      <c r="I24" s="71">
        <v>35</v>
      </c>
      <c r="J24" s="71">
        <v>115</v>
      </c>
      <c r="K24" s="255">
        <v>36</v>
      </c>
      <c r="L24" s="256">
        <v>31</v>
      </c>
      <c r="M24" s="256">
        <v>32</v>
      </c>
      <c r="N24" s="256">
        <v>27</v>
      </c>
      <c r="O24" s="257">
        <v>24</v>
      </c>
      <c r="P24" s="71">
        <f>SUMPRODUCT(C24:O24,C23:O23)/P23</f>
        <v>32.15034482758621</v>
      </c>
      <c r="Q24" s="427">
        <f>P24-U24</f>
        <v>-1.7889176452988238</v>
      </c>
      <c r="R24" s="427">
        <f>P24-X24</f>
        <v>-0.95090427162108426</v>
      </c>
      <c r="S24" s="436">
        <f>O24-Y24</f>
        <v>-9.5414596599258203</v>
      </c>
      <c r="T24" s="430"/>
      <c r="U24" s="259">
        <v>33.939262472885034</v>
      </c>
      <c r="V24" s="37">
        <v>29.208450704225353</v>
      </c>
      <c r="W24" s="37">
        <v>36.901234567901234</v>
      </c>
      <c r="X24" s="37">
        <v>33.101249099207294</v>
      </c>
      <c r="Y24" s="37">
        <v>33.54145965992582</v>
      </c>
    </row>
    <row r="25" spans="1:25" ht="16" customHeight="1">
      <c r="A25" s="460" t="s">
        <v>58</v>
      </c>
      <c r="B25" s="159" t="s">
        <v>2</v>
      </c>
      <c r="C25" s="160">
        <v>1220</v>
      </c>
      <c r="D25" s="161">
        <v>22310</v>
      </c>
      <c r="E25" s="161">
        <v>7880</v>
      </c>
      <c r="F25" s="161">
        <v>9940</v>
      </c>
      <c r="G25" s="161">
        <v>6300</v>
      </c>
      <c r="H25" s="161">
        <v>1120</v>
      </c>
      <c r="I25" s="161">
        <v>17200</v>
      </c>
      <c r="J25" s="162">
        <v>6680</v>
      </c>
      <c r="K25" s="219">
        <v>3850</v>
      </c>
      <c r="L25" s="220">
        <v>1760</v>
      </c>
      <c r="M25" s="220">
        <v>1960</v>
      </c>
      <c r="N25" s="220">
        <v>2400</v>
      </c>
      <c r="O25" s="221">
        <v>100</v>
      </c>
      <c r="P25" s="207">
        <f>SUM(C25:O25)</f>
        <v>82720</v>
      </c>
      <c r="Q25" s="208">
        <f>P25/U25-1</f>
        <v>-1.8218503352916748E-2</v>
      </c>
      <c r="R25" s="209">
        <f>P25/X25-1</f>
        <v>-0.11010704104136415</v>
      </c>
      <c r="S25" s="438">
        <f>P25/Y25-1</f>
        <v>-0.14296666977486294</v>
      </c>
      <c r="T25" s="429"/>
      <c r="U25" s="258">
        <v>84255</v>
      </c>
      <c r="V25" s="36">
        <v>73745</v>
      </c>
      <c r="W25" s="36">
        <v>10510</v>
      </c>
      <c r="X25" s="36">
        <v>92955</v>
      </c>
      <c r="Y25" s="36">
        <v>96519</v>
      </c>
    </row>
    <row r="26" spans="1:25" ht="16.5" thickBot="1">
      <c r="A26" s="458"/>
      <c r="B26" s="102" t="s">
        <v>70</v>
      </c>
      <c r="C26" s="254">
        <v>56</v>
      </c>
      <c r="D26" s="71">
        <v>49</v>
      </c>
      <c r="E26" s="71">
        <v>54</v>
      </c>
      <c r="F26" s="71">
        <v>51</v>
      </c>
      <c r="G26" s="71">
        <v>56</v>
      </c>
      <c r="H26" s="71">
        <v>47</v>
      </c>
      <c r="I26" s="71">
        <v>49</v>
      </c>
      <c r="J26" s="71">
        <v>51</v>
      </c>
      <c r="K26" s="255">
        <v>48</v>
      </c>
      <c r="L26" s="256">
        <v>38</v>
      </c>
      <c r="M26" s="256">
        <v>47</v>
      </c>
      <c r="N26" s="256">
        <v>33</v>
      </c>
      <c r="O26" s="257">
        <v>32</v>
      </c>
      <c r="P26" s="71">
        <f>SUMPRODUCT(C26:O26,C25:O25)/P25</f>
        <v>49.674685686653774</v>
      </c>
      <c r="Q26" s="427">
        <f>P26-U26</f>
        <v>5.2893673079225394</v>
      </c>
      <c r="R26" s="427">
        <f>P26-X26</f>
        <v>5.4651326771330417</v>
      </c>
      <c r="S26" s="436">
        <f>O26-Y26</f>
        <v>-15.599037495208201</v>
      </c>
      <c r="T26" s="430"/>
      <c r="U26" s="259">
        <v>44.385318378731235</v>
      </c>
      <c r="V26" s="37">
        <v>44.72581191945217</v>
      </c>
      <c r="W26" s="37">
        <v>41.996194100856329</v>
      </c>
      <c r="X26" s="37">
        <v>44.209553009520732</v>
      </c>
      <c r="Y26" s="37">
        <v>47.599037495208201</v>
      </c>
    </row>
    <row r="27" spans="1:25" ht="16" customHeight="1">
      <c r="A27" s="460" t="s">
        <v>59</v>
      </c>
      <c r="B27" s="159" t="s">
        <v>2</v>
      </c>
      <c r="C27" s="160">
        <v>310</v>
      </c>
      <c r="D27" s="161">
        <v>850</v>
      </c>
      <c r="E27" s="161">
        <v>2950</v>
      </c>
      <c r="F27" s="161">
        <v>2630</v>
      </c>
      <c r="G27" s="161">
        <v>610</v>
      </c>
      <c r="H27" s="161">
        <v>120</v>
      </c>
      <c r="I27" s="161">
        <v>1110</v>
      </c>
      <c r="J27" s="162">
        <v>860</v>
      </c>
      <c r="K27" s="219">
        <v>800</v>
      </c>
      <c r="L27" s="220">
        <v>280</v>
      </c>
      <c r="M27" s="220">
        <v>200</v>
      </c>
      <c r="N27" s="220">
        <v>765</v>
      </c>
      <c r="O27" s="221">
        <v>55</v>
      </c>
      <c r="P27" s="207">
        <f>SUM(C27:O27)</f>
        <v>11540</v>
      </c>
      <c r="Q27" s="208">
        <f>P27/U27-1</f>
        <v>-0.28765432098765431</v>
      </c>
      <c r="R27" s="209">
        <f>P27/X27-1</f>
        <v>-8.724195206833818E-2</v>
      </c>
      <c r="S27" s="438">
        <f>P27/Y27-1</f>
        <v>0.16277898130888202</v>
      </c>
      <c r="T27" s="429"/>
      <c r="U27" s="258">
        <v>16200</v>
      </c>
      <c r="V27" s="36">
        <v>13805</v>
      </c>
      <c r="W27" s="36">
        <v>2395</v>
      </c>
      <c r="X27" s="36">
        <v>12643</v>
      </c>
      <c r="Y27" s="36">
        <v>9924.5</v>
      </c>
    </row>
    <row r="28" spans="1:25" ht="16.5" thickBot="1">
      <c r="A28" s="458"/>
      <c r="B28" s="102" t="s">
        <v>70</v>
      </c>
      <c r="C28" s="254">
        <v>38</v>
      </c>
      <c r="D28" s="71">
        <v>33</v>
      </c>
      <c r="E28" s="71">
        <v>38</v>
      </c>
      <c r="F28" s="71">
        <v>34</v>
      </c>
      <c r="G28" s="71">
        <v>38</v>
      </c>
      <c r="H28" s="71">
        <v>51</v>
      </c>
      <c r="I28" s="71">
        <v>28</v>
      </c>
      <c r="J28" s="71">
        <v>45</v>
      </c>
      <c r="K28" s="255">
        <v>43</v>
      </c>
      <c r="L28" s="256">
        <v>35</v>
      </c>
      <c r="M28" s="256">
        <v>42</v>
      </c>
      <c r="N28" s="256">
        <v>27</v>
      </c>
      <c r="O28" s="257">
        <v>24</v>
      </c>
      <c r="P28" s="71">
        <f>SUMPRODUCT(C28:O28,C27:O27)/P27</f>
        <v>35.962305025996535</v>
      </c>
      <c r="Q28" s="427">
        <f>P28-U28</f>
        <v>1.5968729272311037</v>
      </c>
      <c r="R28" s="427">
        <f>P28-X28</f>
        <v>0.80095091700341925</v>
      </c>
      <c r="S28" s="436">
        <f>O28-Y28</f>
        <v>-13.129427175172552</v>
      </c>
      <c r="T28" s="430"/>
      <c r="U28" s="259">
        <v>34.365432098765432</v>
      </c>
      <c r="V28" s="37">
        <v>34.356754798985875</v>
      </c>
      <c r="W28" s="37">
        <v>34.415448851774528</v>
      </c>
      <c r="X28" s="37">
        <v>35.161354108993116</v>
      </c>
      <c r="Y28" s="37">
        <v>37.129427175172552</v>
      </c>
    </row>
    <row r="29" spans="1:25" ht="16">
      <c r="A29" s="460" t="s">
        <v>88</v>
      </c>
      <c r="B29" s="159" t="s">
        <v>2</v>
      </c>
      <c r="C29" s="160">
        <v>120</v>
      </c>
      <c r="D29" s="161">
        <v>660</v>
      </c>
      <c r="E29" s="161">
        <v>550</v>
      </c>
      <c r="F29" s="161">
        <v>1250</v>
      </c>
      <c r="G29" s="161">
        <v>400</v>
      </c>
      <c r="H29" s="161">
        <v>80</v>
      </c>
      <c r="I29" s="161">
        <v>640</v>
      </c>
      <c r="J29" s="162">
        <v>380</v>
      </c>
      <c r="K29" s="219">
        <v>305</v>
      </c>
      <c r="L29" s="220">
        <v>60</v>
      </c>
      <c r="M29" s="220">
        <v>125</v>
      </c>
      <c r="N29" s="220">
        <v>60</v>
      </c>
      <c r="O29" s="221">
        <v>235</v>
      </c>
      <c r="P29" s="207">
        <f>SUM(C29:O29)</f>
        <v>4865</v>
      </c>
      <c r="Q29" s="208">
        <f>P29/U29-1</f>
        <v>0.2410714285714286</v>
      </c>
      <c r="R29" s="209">
        <f>P29/X29-1</f>
        <v>1.3752865180245877E-2</v>
      </c>
      <c r="S29" s="438">
        <f>P29/Y29-1</f>
        <v>-4.504858180390614E-2</v>
      </c>
      <c r="T29" s="429"/>
      <c r="U29" s="258">
        <v>3920</v>
      </c>
      <c r="V29" s="36">
        <v>3215</v>
      </c>
      <c r="W29" s="36">
        <v>705</v>
      </c>
      <c r="X29" s="36">
        <v>4799</v>
      </c>
      <c r="Y29" s="36">
        <v>5094.5</v>
      </c>
    </row>
    <row r="30" spans="1:25" ht="16.5" thickBot="1">
      <c r="A30" s="458"/>
      <c r="B30" s="102" t="s">
        <v>70</v>
      </c>
      <c r="C30" s="254">
        <v>29.5</v>
      </c>
      <c r="D30" s="71">
        <v>26.75</v>
      </c>
      <c r="E30" s="71">
        <v>27.37</v>
      </c>
      <c r="F30" s="71">
        <v>33.229999999999997</v>
      </c>
      <c r="G30" s="71">
        <v>26.68</v>
      </c>
      <c r="H30" s="71">
        <v>30.43</v>
      </c>
      <c r="I30" s="71">
        <v>27</v>
      </c>
      <c r="J30" s="71">
        <v>36</v>
      </c>
      <c r="K30" s="255">
        <v>43</v>
      </c>
      <c r="L30" s="256">
        <v>28</v>
      </c>
      <c r="M30" s="256">
        <v>30</v>
      </c>
      <c r="N30" s="256">
        <v>18</v>
      </c>
      <c r="O30" s="257">
        <v>26</v>
      </c>
      <c r="P30" s="71">
        <f>SUMPRODUCT(C30:O30,C29:O29)/P29</f>
        <v>30.336567317574509</v>
      </c>
      <c r="Q30" s="427">
        <f>P30-U30</f>
        <v>0.69115915430920438</v>
      </c>
      <c r="R30" s="427">
        <f>P30-X30</f>
        <v>0.1827852796499414</v>
      </c>
      <c r="S30" s="436">
        <f>O30-Y30</f>
        <v>-5.5047600353322217</v>
      </c>
      <c r="T30" s="431"/>
      <c r="U30" s="259">
        <v>29.645408163265305</v>
      </c>
      <c r="V30" s="37">
        <v>30.082426127527217</v>
      </c>
      <c r="W30" s="37">
        <v>27.652482269503547</v>
      </c>
      <c r="X30" s="37">
        <v>30.153782037924568</v>
      </c>
      <c r="Y30" s="37">
        <v>31.504760035332222</v>
      </c>
    </row>
    <row r="31" spans="1:25" ht="16">
      <c r="A31" s="460" t="s">
        <v>105</v>
      </c>
      <c r="B31" s="159" t="s">
        <v>2</v>
      </c>
      <c r="C31" s="160">
        <v>90</v>
      </c>
      <c r="D31" s="161">
        <v>450</v>
      </c>
      <c r="E31" s="161">
        <v>210</v>
      </c>
      <c r="F31" s="161">
        <v>610</v>
      </c>
      <c r="G31" s="161">
        <v>330</v>
      </c>
      <c r="H31" s="161">
        <v>0</v>
      </c>
      <c r="I31" s="161">
        <v>370</v>
      </c>
      <c r="J31" s="162">
        <v>360</v>
      </c>
      <c r="K31" s="219">
        <v>65</v>
      </c>
      <c r="L31" s="220">
        <v>30</v>
      </c>
      <c r="M31" s="220">
        <v>45</v>
      </c>
      <c r="N31" s="220">
        <v>1255</v>
      </c>
      <c r="O31" s="221">
        <v>15</v>
      </c>
      <c r="P31" s="207">
        <f>SUM(C31:O31)</f>
        <v>3830</v>
      </c>
      <c r="Q31" s="208">
        <f>P31/U31-1</f>
        <v>-9.9882491186839006E-2</v>
      </c>
      <c r="R31" s="209">
        <f>P31/X31-1</f>
        <v>-0.14164051994621241</v>
      </c>
      <c r="S31" s="438">
        <f>P31/Y31-1</f>
        <v>-9.3491124260354996E-2</v>
      </c>
      <c r="T31" s="429"/>
      <c r="U31" s="258">
        <v>4255</v>
      </c>
      <c r="V31" s="36">
        <v>2550</v>
      </c>
      <c r="W31" s="36">
        <v>1705</v>
      </c>
      <c r="X31" s="36">
        <v>4462</v>
      </c>
      <c r="Y31" s="36">
        <v>4225</v>
      </c>
    </row>
    <row r="32" spans="1:25" ht="16.5" thickBot="1">
      <c r="A32" s="458"/>
      <c r="B32" s="102" t="s">
        <v>70</v>
      </c>
      <c r="C32" s="254">
        <v>25.84</v>
      </c>
      <c r="D32" s="71">
        <v>21.73</v>
      </c>
      <c r="E32" s="71">
        <v>23.74</v>
      </c>
      <c r="F32" s="71">
        <v>27.86</v>
      </c>
      <c r="G32" s="71">
        <v>22.84</v>
      </c>
      <c r="H32" s="71">
        <v>0</v>
      </c>
      <c r="I32" s="71">
        <v>25</v>
      </c>
      <c r="J32" s="71">
        <v>30</v>
      </c>
      <c r="K32" s="255">
        <v>38</v>
      </c>
      <c r="L32" s="256">
        <v>26</v>
      </c>
      <c r="M32" s="256">
        <v>27</v>
      </c>
      <c r="N32" s="256">
        <v>26</v>
      </c>
      <c r="O32" s="257">
        <v>19</v>
      </c>
      <c r="P32" s="71">
        <f>SUMPRODUCT(C32:O32,C31:O31)/P31</f>
        <v>25.861958224543077</v>
      </c>
      <c r="Q32" s="427">
        <f>P32-U32</f>
        <v>-2.7549630445521061</v>
      </c>
      <c r="R32" s="427">
        <f>P32-X32</f>
        <v>-2.3047831470391742</v>
      </c>
      <c r="S32" s="436">
        <f>O32-Y32</f>
        <v>-10.070485207100592</v>
      </c>
      <c r="T32" s="430"/>
      <c r="U32" s="259">
        <v>28.616921269095183</v>
      </c>
      <c r="V32" s="37">
        <v>25.609803921568627</v>
      </c>
      <c r="W32" s="37">
        <v>33.114369501466278</v>
      </c>
      <c r="X32" s="37">
        <v>28.166741371582251</v>
      </c>
      <c r="Y32" s="37">
        <v>29.070485207100592</v>
      </c>
    </row>
    <row r="33" spans="1:27" ht="16">
      <c r="A33" s="460" t="s">
        <v>60</v>
      </c>
      <c r="B33" s="159" t="s">
        <v>2</v>
      </c>
      <c r="C33" s="160">
        <v>700</v>
      </c>
      <c r="D33" s="161">
        <v>8730</v>
      </c>
      <c r="E33" s="161">
        <v>2110</v>
      </c>
      <c r="F33" s="161">
        <v>4210</v>
      </c>
      <c r="G33" s="161">
        <v>2060</v>
      </c>
      <c r="H33" s="161">
        <v>1980</v>
      </c>
      <c r="I33" s="161">
        <v>6470</v>
      </c>
      <c r="J33" s="162">
        <v>2030</v>
      </c>
      <c r="K33" s="219">
        <v>660</v>
      </c>
      <c r="L33" s="220">
        <v>155</v>
      </c>
      <c r="M33" s="220">
        <v>280</v>
      </c>
      <c r="N33" s="220">
        <v>4140</v>
      </c>
      <c r="O33" s="221">
        <v>155</v>
      </c>
      <c r="P33" s="207">
        <f>SUM(C33:O33)</f>
        <v>33680</v>
      </c>
      <c r="Q33" s="208">
        <f>P33/U33-1</f>
        <v>0.1581843191196699</v>
      </c>
      <c r="R33" s="209">
        <f>P33/X33-1</f>
        <v>5.7822167781651501E-2</v>
      </c>
      <c r="S33" s="438">
        <f>P33/Y33-1</f>
        <v>-5.196194336542248E-2</v>
      </c>
      <c r="T33" s="429"/>
      <c r="U33" s="258">
        <v>29080</v>
      </c>
      <c r="V33" s="36">
        <v>24185</v>
      </c>
      <c r="W33" s="36">
        <v>4895</v>
      </c>
      <c r="X33" s="36">
        <v>31839</v>
      </c>
      <c r="Y33" s="36">
        <v>35526</v>
      </c>
    </row>
    <row r="34" spans="1:27" ht="16.5" thickBot="1">
      <c r="A34" s="461"/>
      <c r="B34" s="102" t="s">
        <v>70</v>
      </c>
      <c r="C34" s="254">
        <v>40</v>
      </c>
      <c r="D34" s="71">
        <v>45</v>
      </c>
      <c r="E34" s="71">
        <v>37</v>
      </c>
      <c r="F34" s="71">
        <v>50</v>
      </c>
      <c r="G34" s="71">
        <v>48</v>
      </c>
      <c r="H34" s="71">
        <v>39</v>
      </c>
      <c r="I34" s="71">
        <v>46</v>
      </c>
      <c r="J34" s="71">
        <v>39</v>
      </c>
      <c r="K34" s="255">
        <v>38</v>
      </c>
      <c r="L34" s="256">
        <v>32</v>
      </c>
      <c r="M34" s="256">
        <v>30</v>
      </c>
      <c r="N34" s="256">
        <v>32</v>
      </c>
      <c r="O34" s="257">
        <v>33</v>
      </c>
      <c r="P34" s="71">
        <f>SUMPRODUCT(C34:O34,C33:O33)/P33</f>
        <v>42.706205463182897</v>
      </c>
      <c r="Q34" s="427">
        <f>P34-U34</f>
        <v>2.4591284342970638</v>
      </c>
      <c r="R34" s="427">
        <f>P34-X34</f>
        <v>3.3249937417092355</v>
      </c>
      <c r="S34" s="436">
        <f>O34-Y34</f>
        <v>-7.60512582334065</v>
      </c>
      <c r="T34" s="432"/>
      <c r="U34" s="259">
        <v>40.247077028885833</v>
      </c>
      <c r="V34" s="37">
        <v>40.028116601199088</v>
      </c>
      <c r="W34" s="37">
        <v>41.328907048008169</v>
      </c>
      <c r="X34" s="37">
        <v>39.381211721473662</v>
      </c>
      <c r="Y34" s="37">
        <v>40.60512582334065</v>
      </c>
    </row>
    <row r="35" spans="1:27" ht="16.5" thickBot="1">
      <c r="A35" s="78" t="s">
        <v>71</v>
      </c>
      <c r="B35" s="93" t="s">
        <v>2</v>
      </c>
      <c r="C35" s="94">
        <f>SUM(C15,C17,C33,C31,C27,C25,C23,C19,C21,C29)</f>
        <v>10240</v>
      </c>
      <c r="D35" s="91">
        <f t="shared" ref="D35:E35" si="0">SUM(D15,D17,D33,D31,D27,D25,D23,D19,D21)</f>
        <v>52020</v>
      </c>
      <c r="E35" s="91">
        <f t="shared" si="0"/>
        <v>84090</v>
      </c>
      <c r="F35" s="91">
        <f t="shared" ref="F35:P35" si="1">SUM(F15,F17,F33,F31,F27,F25,F23,F19,F21,F29)</f>
        <v>109530</v>
      </c>
      <c r="G35" s="91">
        <f t="shared" si="1"/>
        <v>18610</v>
      </c>
      <c r="H35" s="91">
        <f t="shared" si="1"/>
        <v>7020</v>
      </c>
      <c r="I35" s="91">
        <f t="shared" si="1"/>
        <v>74170</v>
      </c>
      <c r="J35" s="95">
        <f t="shared" si="1"/>
        <v>46250</v>
      </c>
      <c r="K35" s="225">
        <f t="shared" si="1"/>
        <v>31375</v>
      </c>
      <c r="L35" s="226">
        <f t="shared" si="1"/>
        <v>11330</v>
      </c>
      <c r="M35" s="226">
        <f t="shared" si="1"/>
        <v>10610</v>
      </c>
      <c r="N35" s="226">
        <f t="shared" si="1"/>
        <v>13515</v>
      </c>
      <c r="O35" s="227">
        <f t="shared" si="1"/>
        <v>1155</v>
      </c>
      <c r="P35" s="202">
        <f t="shared" si="1"/>
        <v>471125</v>
      </c>
      <c r="Q35" s="203">
        <f>P35/U35-1</f>
        <v>8.4579347813575456E-2</v>
      </c>
      <c r="R35" s="203">
        <f>P35/X35-1</f>
        <v>-2.3888294491218098E-2</v>
      </c>
      <c r="S35" s="439">
        <f>P35/Y35-1</f>
        <v>-0.10331060863726249</v>
      </c>
      <c r="T35" s="432"/>
      <c r="U35" s="260">
        <f>SUM(U33,U31,U27,U25,U23,U19,U21,U15,U17,U29)</f>
        <v>434385</v>
      </c>
      <c r="V35" s="76">
        <f>SUM(V33,V31,V27,V25,V23,V19,V21,V15,V17,V29)</f>
        <v>365790</v>
      </c>
      <c r="W35" s="76">
        <f>SUM(W33,W31,W27,W25,W23,W19,W21,W15,W17,W29)</f>
        <v>68595</v>
      </c>
      <c r="X35" s="76">
        <f>SUM(X33,X31,X27,X25,X23,X19,X21,X15,X17,X29)</f>
        <v>482654.8</v>
      </c>
      <c r="Y35" s="76">
        <f>SUM(Y33,Y31,Y27,Y25,Y23,Y19,Y21,Y15,Y17,Y29)</f>
        <v>525404.9</v>
      </c>
    </row>
    <row r="36" spans="1:27" ht="16">
      <c r="A36" s="457" t="s">
        <v>61</v>
      </c>
      <c r="B36" s="166" t="s">
        <v>2</v>
      </c>
      <c r="C36" s="156">
        <v>3565</v>
      </c>
      <c r="D36" s="157">
        <v>517</v>
      </c>
      <c r="E36" s="157">
        <v>15400</v>
      </c>
      <c r="F36" s="157">
        <v>32407</v>
      </c>
      <c r="G36" s="157">
        <v>1350</v>
      </c>
      <c r="H36" s="157">
        <v>16000</v>
      </c>
      <c r="I36" s="157">
        <v>6050</v>
      </c>
      <c r="J36" s="158">
        <v>13990</v>
      </c>
      <c r="K36" s="228">
        <v>675</v>
      </c>
      <c r="L36" s="229">
        <v>270</v>
      </c>
      <c r="M36" s="229">
        <v>35</v>
      </c>
      <c r="N36" s="229">
        <v>5</v>
      </c>
      <c r="O36" s="230">
        <v>2</v>
      </c>
      <c r="P36" s="207">
        <f>SUM(C36:O36)</f>
        <v>90266</v>
      </c>
      <c r="Q36" s="200">
        <f>P36/U36-1</f>
        <v>9.4013986353003842E-2</v>
      </c>
      <c r="R36" s="201">
        <f>P36/X36-1</f>
        <v>0.20109642994956944</v>
      </c>
      <c r="S36" s="440">
        <f>P36/Y36-1</f>
        <v>9.9693115131166188E-2</v>
      </c>
      <c r="T36" s="433"/>
      <c r="U36" s="258">
        <v>82509</v>
      </c>
      <c r="V36" s="36">
        <v>81974</v>
      </c>
      <c r="W36" s="36">
        <v>535</v>
      </c>
      <c r="X36" s="36">
        <v>75153</v>
      </c>
      <c r="Y36" s="36">
        <v>82082.899999999994</v>
      </c>
    </row>
    <row r="37" spans="1:27" ht="16.5" thickBot="1">
      <c r="A37" s="458"/>
      <c r="B37" s="102" t="s">
        <v>70</v>
      </c>
      <c r="C37" s="254">
        <v>100</v>
      </c>
      <c r="D37" s="71">
        <v>80</v>
      </c>
      <c r="E37" s="71">
        <v>110</v>
      </c>
      <c r="F37" s="71">
        <v>95</v>
      </c>
      <c r="G37" s="71">
        <v>89.97</v>
      </c>
      <c r="H37" s="71">
        <v>100</v>
      </c>
      <c r="I37" s="71">
        <v>110</v>
      </c>
      <c r="J37" s="71">
        <v>86</v>
      </c>
      <c r="K37" s="255">
        <v>75</v>
      </c>
      <c r="L37" s="256">
        <v>75</v>
      </c>
      <c r="M37" s="256">
        <v>60</v>
      </c>
      <c r="N37" s="256">
        <v>60</v>
      </c>
      <c r="O37" s="257">
        <v>52</v>
      </c>
      <c r="P37" s="71">
        <f>SUMPRODUCT(C37:O37,C36:O36)/P36</f>
        <v>97.866345024704756</v>
      </c>
      <c r="Q37" s="427">
        <f>P37-U37</f>
        <v>-12.197539400024652</v>
      </c>
      <c r="R37" s="427">
        <f>P37-X37</f>
        <v>-7.4326317293835586</v>
      </c>
      <c r="S37" s="436">
        <f>O37-Y37</f>
        <v>-52.641356482288032</v>
      </c>
      <c r="T37" s="434"/>
      <c r="U37" s="259">
        <v>110.06388442472941</v>
      </c>
      <c r="V37" s="37">
        <v>110.27046429355649</v>
      </c>
      <c r="W37" s="37">
        <v>78.411214953271028</v>
      </c>
      <c r="X37" s="37">
        <v>105.29897675408832</v>
      </c>
      <c r="Y37" s="37">
        <v>104.64135648228803</v>
      </c>
      <c r="Z37" s="66"/>
      <c r="AA37" s="53"/>
    </row>
    <row r="38" spans="1:27" ht="16">
      <c r="A38" s="460" t="s">
        <v>62</v>
      </c>
      <c r="B38" s="159" t="s">
        <v>2</v>
      </c>
      <c r="C38" s="160">
        <v>1580</v>
      </c>
      <c r="D38" s="161">
        <v>713</v>
      </c>
      <c r="E38" s="161">
        <v>13520</v>
      </c>
      <c r="F38" s="161">
        <v>12943</v>
      </c>
      <c r="G38" s="161">
        <v>950</v>
      </c>
      <c r="H38" s="161">
        <v>12690</v>
      </c>
      <c r="I38" s="161">
        <v>4675</v>
      </c>
      <c r="J38" s="162">
        <v>4690</v>
      </c>
      <c r="K38" s="219">
        <v>525</v>
      </c>
      <c r="L38" s="220">
        <v>100</v>
      </c>
      <c r="M38" s="220">
        <v>25</v>
      </c>
      <c r="N38" s="220">
        <v>0</v>
      </c>
      <c r="O38" s="221">
        <v>0</v>
      </c>
      <c r="P38" s="207">
        <f>SUM(C38:O38)</f>
        <v>52411</v>
      </c>
      <c r="Q38" s="208">
        <f>P38/U38-1</f>
        <v>5.6311344901949001E-2</v>
      </c>
      <c r="R38" s="209">
        <f>P38/X38-1</f>
        <v>0.11346456994021703</v>
      </c>
      <c r="S38" s="438">
        <f>P38/Y38-1</f>
        <v>0.11685046081721806</v>
      </c>
      <c r="T38" s="429"/>
      <c r="U38" s="258">
        <v>49617</v>
      </c>
      <c r="V38" s="36">
        <v>49087</v>
      </c>
      <c r="W38" s="36">
        <v>530</v>
      </c>
      <c r="X38" s="36">
        <v>47070.2</v>
      </c>
      <c r="Y38" s="36">
        <v>46927.5</v>
      </c>
      <c r="AA38" s="53"/>
    </row>
    <row r="39" spans="1:27" ht="16.5" thickBot="1">
      <c r="A39" s="458"/>
      <c r="B39" s="102" t="s">
        <v>70</v>
      </c>
      <c r="C39" s="254">
        <v>30</v>
      </c>
      <c r="D39" s="71">
        <v>40</v>
      </c>
      <c r="E39" s="71">
        <v>40</v>
      </c>
      <c r="F39" s="71">
        <v>35</v>
      </c>
      <c r="G39" s="71">
        <v>50</v>
      </c>
      <c r="H39" s="71">
        <v>45.260047281323878</v>
      </c>
      <c r="I39" s="71">
        <v>42</v>
      </c>
      <c r="J39" s="71">
        <v>50</v>
      </c>
      <c r="K39" s="255">
        <v>25</v>
      </c>
      <c r="L39" s="256">
        <v>30</v>
      </c>
      <c r="M39" s="256">
        <v>25</v>
      </c>
      <c r="N39" s="256">
        <v>0</v>
      </c>
      <c r="O39" s="257">
        <v>0</v>
      </c>
      <c r="P39" s="71">
        <f>SUMPRODUCT(C39:O39,C38:O38)/P38</f>
        <v>40.81538226708134</v>
      </c>
      <c r="Q39" s="427">
        <f>P39-U39</f>
        <v>-42.659233288071128</v>
      </c>
      <c r="R39" s="427">
        <f>P39-X39</f>
        <v>-35.606451504604358</v>
      </c>
      <c r="S39" s="436">
        <f>O39-Y39</f>
        <v>-73.470285014117522</v>
      </c>
      <c r="T39" s="434"/>
      <c r="U39" s="259">
        <v>83.474615555152468</v>
      </c>
      <c r="V39" s="37">
        <v>83.815877931020438</v>
      </c>
      <c r="W39" s="37">
        <v>51.867924528301884</v>
      </c>
      <c r="X39" s="37">
        <v>76.421833771685698</v>
      </c>
      <c r="Y39" s="37">
        <v>73.470285014117522</v>
      </c>
    </row>
    <row r="40" spans="1:27" ht="16">
      <c r="A40" s="460" t="s">
        <v>63</v>
      </c>
      <c r="B40" s="159" t="s">
        <v>2</v>
      </c>
      <c r="C40" s="160">
        <v>2040</v>
      </c>
      <c r="D40" s="161">
        <v>320</v>
      </c>
      <c r="E40" s="161">
        <v>1120</v>
      </c>
      <c r="F40" s="161">
        <v>4430</v>
      </c>
      <c r="G40" s="161">
        <v>660</v>
      </c>
      <c r="H40" s="161">
        <v>140</v>
      </c>
      <c r="I40" s="161">
        <v>1270</v>
      </c>
      <c r="J40" s="162">
        <v>2630</v>
      </c>
      <c r="K40" s="219">
        <v>1100</v>
      </c>
      <c r="L40" s="220">
        <v>30</v>
      </c>
      <c r="M40" s="220">
        <v>355</v>
      </c>
      <c r="N40" s="220">
        <v>0</v>
      </c>
      <c r="O40" s="221">
        <v>7</v>
      </c>
      <c r="P40" s="207">
        <f>SUM(C40:O40)</f>
        <v>14102</v>
      </c>
      <c r="Q40" s="208">
        <f>P40/U40-1</f>
        <v>-0.20619195046439631</v>
      </c>
      <c r="R40" s="209">
        <f>P40/X40-1</f>
        <v>-0.39181962462048026</v>
      </c>
      <c r="S40" s="438">
        <f>P40/Y40-1</f>
        <v>-0.32435799156765044</v>
      </c>
      <c r="T40" s="429"/>
      <c r="U40" s="258">
        <v>17765</v>
      </c>
      <c r="V40" s="36">
        <v>15810</v>
      </c>
      <c r="W40" s="36">
        <v>1955</v>
      </c>
      <c r="X40" s="36">
        <v>23187.200000000001</v>
      </c>
      <c r="Y40" s="36">
        <v>20872</v>
      </c>
    </row>
    <row r="41" spans="1:27" ht="16.5" thickBot="1">
      <c r="A41" s="461"/>
      <c r="B41" s="102" t="s">
        <v>70</v>
      </c>
      <c r="C41" s="254">
        <v>42</v>
      </c>
      <c r="D41" s="71">
        <v>35</v>
      </c>
      <c r="E41" s="71">
        <v>30</v>
      </c>
      <c r="F41" s="71">
        <v>29</v>
      </c>
      <c r="G41" s="71">
        <v>36</v>
      </c>
      <c r="H41" s="71">
        <v>30</v>
      </c>
      <c r="I41" s="71">
        <v>37</v>
      </c>
      <c r="J41" s="71">
        <v>34</v>
      </c>
      <c r="K41" s="255">
        <v>33</v>
      </c>
      <c r="L41" s="256">
        <v>29</v>
      </c>
      <c r="M41" s="256">
        <v>29</v>
      </c>
      <c r="N41" s="256">
        <v>0</v>
      </c>
      <c r="O41" s="257">
        <v>29</v>
      </c>
      <c r="P41" s="71">
        <f>SUMPRODUCT(C41:O41,C40:O40)/P40</f>
        <v>33.398666855765143</v>
      </c>
      <c r="Q41" s="427">
        <f>P41-U41</f>
        <v>-1.1864724631203032</v>
      </c>
      <c r="R41" s="427">
        <f>P41-X41</f>
        <v>1.2202753294057729</v>
      </c>
      <c r="S41" s="436">
        <f>O41-Y41</f>
        <v>-3.7004216174779643</v>
      </c>
      <c r="T41" s="434"/>
      <c r="U41" s="259">
        <v>34.585139318885446</v>
      </c>
      <c r="V41" s="37">
        <v>35.278937381404177</v>
      </c>
      <c r="W41" s="37">
        <v>28.974424552429667</v>
      </c>
      <c r="X41" s="37">
        <v>32.17839152635937</v>
      </c>
      <c r="Y41" s="37">
        <v>32.700421617477964</v>
      </c>
    </row>
    <row r="42" spans="1:27" ht="16.5" thickBot="1">
      <c r="A42" s="78" t="s">
        <v>72</v>
      </c>
      <c r="B42" s="93" t="s">
        <v>2</v>
      </c>
      <c r="C42" s="96">
        <f>C36+C38+C40</f>
        <v>7185</v>
      </c>
      <c r="D42" s="92">
        <f t="shared" ref="D42:O42" si="2">D36+D38+D40</f>
        <v>1550</v>
      </c>
      <c r="E42" s="92">
        <f t="shared" si="2"/>
        <v>30040</v>
      </c>
      <c r="F42" s="92">
        <f t="shared" si="2"/>
        <v>49780</v>
      </c>
      <c r="G42" s="92">
        <f t="shared" si="2"/>
        <v>2960</v>
      </c>
      <c r="H42" s="92">
        <f t="shared" si="2"/>
        <v>28830</v>
      </c>
      <c r="I42" s="92">
        <f t="shared" si="2"/>
        <v>11995</v>
      </c>
      <c r="J42" s="97">
        <f t="shared" si="2"/>
        <v>21310</v>
      </c>
      <c r="K42" s="231">
        <f t="shared" si="2"/>
        <v>2300</v>
      </c>
      <c r="L42" s="232">
        <f t="shared" si="2"/>
        <v>400</v>
      </c>
      <c r="M42" s="232">
        <f>M36+M38+M40</f>
        <v>415</v>
      </c>
      <c r="N42" s="232">
        <f t="shared" si="2"/>
        <v>5</v>
      </c>
      <c r="O42" s="233">
        <f t="shared" si="2"/>
        <v>9</v>
      </c>
      <c r="P42" s="204">
        <f>SUM(C42:O42)</f>
        <v>156779</v>
      </c>
      <c r="Q42" s="205">
        <f>P42/U42-1</f>
        <v>4.5953392798767201E-2</v>
      </c>
      <c r="R42" s="205">
        <f>P42/X42-1</f>
        <v>7.8182853496036042E-2</v>
      </c>
      <c r="S42" s="441">
        <f>P42/Y42-1</f>
        <v>4.6013407845084009E-2</v>
      </c>
      <c r="T42" s="434"/>
      <c r="U42" s="261">
        <f>U40+U38+U36</f>
        <v>149891</v>
      </c>
      <c r="V42" s="76">
        <f>V40+V38+V36</f>
        <v>146871</v>
      </c>
      <c r="W42" s="76">
        <f>W40+W38+W36</f>
        <v>3020</v>
      </c>
      <c r="X42" s="76">
        <f>X40+X38+X36</f>
        <v>145410.4</v>
      </c>
      <c r="Y42" s="76">
        <f>Y40+Y38+Y36</f>
        <v>149882.4</v>
      </c>
    </row>
    <row r="43" spans="1:27" ht="16">
      <c r="A43" s="457" t="s">
        <v>64</v>
      </c>
      <c r="B43" s="166" t="s">
        <v>2</v>
      </c>
      <c r="C43" s="156">
        <v>600</v>
      </c>
      <c r="D43" s="157">
        <v>90</v>
      </c>
      <c r="E43" s="157">
        <v>5330</v>
      </c>
      <c r="F43" s="157">
        <v>3560</v>
      </c>
      <c r="G43" s="157">
        <v>840</v>
      </c>
      <c r="H43" s="157">
        <v>270</v>
      </c>
      <c r="I43" s="157">
        <v>3590</v>
      </c>
      <c r="J43" s="158">
        <v>3540</v>
      </c>
      <c r="K43" s="228">
        <v>1550</v>
      </c>
      <c r="L43" s="229">
        <v>460</v>
      </c>
      <c r="M43" s="229">
        <v>360</v>
      </c>
      <c r="N43" s="229">
        <v>5</v>
      </c>
      <c r="O43" s="230">
        <v>10</v>
      </c>
      <c r="P43" s="207">
        <f>SUM(C43:O43)</f>
        <v>20205</v>
      </c>
      <c r="Q43" s="200">
        <f>P43/U43-1</f>
        <v>-0.47567146749708056</v>
      </c>
      <c r="R43" s="201">
        <f>P43/X43-1</f>
        <v>-0.21263064369052354</v>
      </c>
      <c r="S43" s="440">
        <f>P43/Y43-1</f>
        <v>-0.10975894536946873</v>
      </c>
      <c r="T43" s="432"/>
      <c r="U43" s="258">
        <v>38535</v>
      </c>
      <c r="V43" s="36">
        <v>36395</v>
      </c>
      <c r="W43" s="36">
        <v>2140</v>
      </c>
      <c r="X43" s="36">
        <v>25661.4</v>
      </c>
      <c r="Y43" s="36">
        <v>22696.1</v>
      </c>
    </row>
    <row r="44" spans="1:27" ht="16.5" thickBot="1">
      <c r="A44" s="461"/>
      <c r="B44" s="102" t="s">
        <v>70</v>
      </c>
      <c r="C44" s="254">
        <v>41</v>
      </c>
      <c r="D44" s="71">
        <v>40</v>
      </c>
      <c r="E44" s="71">
        <v>45</v>
      </c>
      <c r="F44" s="71">
        <v>40</v>
      </c>
      <c r="G44" s="71">
        <v>40</v>
      </c>
      <c r="H44" s="71">
        <v>45</v>
      </c>
      <c r="I44" s="71">
        <v>32</v>
      </c>
      <c r="J44" s="71">
        <v>36</v>
      </c>
      <c r="K44" s="255">
        <v>40</v>
      </c>
      <c r="L44" s="256">
        <v>33</v>
      </c>
      <c r="M44" s="256">
        <v>30</v>
      </c>
      <c r="N44" s="256">
        <v>24</v>
      </c>
      <c r="O44" s="257">
        <v>26</v>
      </c>
      <c r="P44" s="71">
        <f>SUMPRODUCT(C44:O44,C43:O43)/P43</f>
        <v>38.944815639693147</v>
      </c>
      <c r="Q44" s="427">
        <f>P44-U44</f>
        <v>-3.3485540242487559</v>
      </c>
      <c r="R44" s="427">
        <f>P44-X44</f>
        <v>-8.5984205048663824</v>
      </c>
      <c r="S44" s="436">
        <f>O44-Y44</f>
        <v>-23.971501711747834</v>
      </c>
      <c r="T44" s="434"/>
      <c r="U44" s="259">
        <v>42.293369663941903</v>
      </c>
      <c r="V44" s="37">
        <v>41.803681824426434</v>
      </c>
      <c r="W44" s="37">
        <v>50.621495327102807</v>
      </c>
      <c r="X44" s="37">
        <v>47.543236144559529</v>
      </c>
      <c r="Y44" s="37">
        <v>49.971501711747834</v>
      </c>
      <c r="Z44" s="53"/>
    </row>
    <row r="45" spans="1:27" ht="16.5" thickBot="1">
      <c r="A45" s="78" t="s">
        <v>100</v>
      </c>
      <c r="B45" s="93" t="s">
        <v>2</v>
      </c>
      <c r="C45" s="96">
        <f>C42+C35+C43</f>
        <v>18025</v>
      </c>
      <c r="D45" s="92">
        <f t="shared" ref="D45:N45" si="3">D42+D35+D43</f>
        <v>53660</v>
      </c>
      <c r="E45" s="92">
        <f t="shared" si="3"/>
        <v>119460</v>
      </c>
      <c r="F45" s="92">
        <f t="shared" si="3"/>
        <v>162870</v>
      </c>
      <c r="G45" s="92">
        <f t="shared" si="3"/>
        <v>22410</v>
      </c>
      <c r="H45" s="92">
        <f t="shared" si="3"/>
        <v>36120</v>
      </c>
      <c r="I45" s="92">
        <f t="shared" si="3"/>
        <v>89755</v>
      </c>
      <c r="J45" s="97">
        <f t="shared" si="3"/>
        <v>71100</v>
      </c>
      <c r="K45" s="231">
        <f t="shared" si="3"/>
        <v>35225</v>
      </c>
      <c r="L45" s="232">
        <f t="shared" si="3"/>
        <v>12190</v>
      </c>
      <c r="M45" s="232">
        <f t="shared" si="3"/>
        <v>11385</v>
      </c>
      <c r="N45" s="232">
        <f t="shared" si="3"/>
        <v>13525</v>
      </c>
      <c r="O45" s="233">
        <f>O42+O35+O43</f>
        <v>1174</v>
      </c>
      <c r="P45" s="204">
        <f>SUM(C45:O45)</f>
        <v>646899</v>
      </c>
      <c r="Q45" s="205">
        <f>P45/U45-1</f>
        <v>3.8676259732085549E-2</v>
      </c>
      <c r="R45" s="205">
        <f>P45/X45-1</f>
        <v>-1.0444121441593457E-2</v>
      </c>
      <c r="S45" s="441">
        <f>P45/Y45-1</f>
        <v>-7.3188560071772546E-2</v>
      </c>
      <c r="T45" s="432"/>
      <c r="U45" s="289">
        <f>U42+U35+U43</f>
        <v>622811</v>
      </c>
      <c r="V45" s="76">
        <f>V42+V35+V43</f>
        <v>549056</v>
      </c>
      <c r="W45" s="76">
        <f>W42+W35+W43</f>
        <v>73755</v>
      </c>
      <c r="X45" s="76">
        <f>X42+X35+X43</f>
        <v>653726.6</v>
      </c>
      <c r="Y45" s="76">
        <f>Y42+Y35+Y43</f>
        <v>697983.4</v>
      </c>
    </row>
    <row r="46" spans="1:27" ht="16">
      <c r="A46" s="457" t="s">
        <v>89</v>
      </c>
      <c r="B46" s="166" t="s">
        <v>2</v>
      </c>
      <c r="C46" s="156">
        <v>0</v>
      </c>
      <c r="D46" s="157">
        <v>0</v>
      </c>
      <c r="E46" s="157">
        <v>0</v>
      </c>
      <c r="F46" s="157">
        <v>0</v>
      </c>
      <c r="G46" s="157">
        <v>0</v>
      </c>
      <c r="H46" s="157">
        <v>0</v>
      </c>
      <c r="I46" s="157">
        <v>0</v>
      </c>
      <c r="J46" s="158">
        <v>0</v>
      </c>
      <c r="K46" s="228">
        <v>150</v>
      </c>
      <c r="L46" s="229">
        <v>2825</v>
      </c>
      <c r="M46" s="229">
        <v>0</v>
      </c>
      <c r="N46" s="229">
        <v>0</v>
      </c>
      <c r="O46" s="230">
        <v>0</v>
      </c>
      <c r="P46" s="199">
        <f>SUM(C46:O46)</f>
        <v>2975</v>
      </c>
      <c r="Q46" s="200">
        <f>P46/U46-1</f>
        <v>0.42344497607655507</v>
      </c>
      <c r="R46" s="201">
        <f>P46/X46-1</f>
        <v>0.34554500226142015</v>
      </c>
      <c r="S46" s="440">
        <f>P46/Y46-1</f>
        <v>0.11360658805914281</v>
      </c>
      <c r="T46" s="432"/>
      <c r="U46" s="258">
        <v>2090</v>
      </c>
      <c r="V46" s="36">
        <v>0</v>
      </c>
      <c r="W46" s="36">
        <v>2090</v>
      </c>
      <c r="X46" s="36">
        <v>2211</v>
      </c>
      <c r="Y46" s="36">
        <v>2671.5</v>
      </c>
      <c r="Z46" s="25"/>
    </row>
    <row r="47" spans="1:27" ht="16.5" thickBot="1">
      <c r="A47" s="458"/>
      <c r="B47" s="102" t="s">
        <v>70</v>
      </c>
      <c r="C47" s="254">
        <v>0</v>
      </c>
      <c r="D47" s="71">
        <v>0</v>
      </c>
      <c r="E47" s="71">
        <v>0</v>
      </c>
      <c r="F47" s="71">
        <v>0</v>
      </c>
      <c r="G47" s="71">
        <v>0</v>
      </c>
      <c r="H47" s="71">
        <v>0</v>
      </c>
      <c r="I47" s="71">
        <v>0</v>
      </c>
      <c r="J47" s="71">
        <v>0</v>
      </c>
      <c r="K47" s="255">
        <v>68</v>
      </c>
      <c r="L47" s="256">
        <v>59</v>
      </c>
      <c r="M47" s="256">
        <v>0</v>
      </c>
      <c r="N47" s="256">
        <v>0</v>
      </c>
      <c r="O47" s="257">
        <v>0</v>
      </c>
      <c r="P47" s="71">
        <f>SUMPRODUCT(C47:O47,C46:O46)/P46</f>
        <v>59.45378151260504</v>
      </c>
      <c r="Q47" s="427">
        <f>P47-U47</f>
        <v>9.4537815126050404</v>
      </c>
      <c r="R47" s="427">
        <f>P47-X47</f>
        <v>0.96712389161906032</v>
      </c>
      <c r="S47" s="436">
        <f>O47-Y47</f>
        <v>-56.484372075612953</v>
      </c>
      <c r="T47" s="432"/>
      <c r="U47" s="259">
        <v>50</v>
      </c>
      <c r="V47" s="37"/>
      <c r="W47" s="37">
        <v>50</v>
      </c>
      <c r="X47" s="37">
        <v>58.48665762098598</v>
      </c>
      <c r="Y47" s="37">
        <v>56.484372075612953</v>
      </c>
      <c r="Z47" s="25"/>
    </row>
    <row r="48" spans="1:27" ht="16">
      <c r="A48" s="460" t="s">
        <v>115</v>
      </c>
      <c r="B48" s="159" t="s">
        <v>2</v>
      </c>
      <c r="C48" s="160">
        <v>1600</v>
      </c>
      <c r="D48" s="161">
        <v>2150</v>
      </c>
      <c r="E48" s="161">
        <v>11150</v>
      </c>
      <c r="F48" s="161">
        <v>8070</v>
      </c>
      <c r="G48" s="161">
        <v>520</v>
      </c>
      <c r="H48" s="161">
        <v>890</v>
      </c>
      <c r="I48" s="161">
        <v>7700</v>
      </c>
      <c r="J48" s="162">
        <v>3010</v>
      </c>
      <c r="K48" s="219">
        <v>2250</v>
      </c>
      <c r="L48" s="220">
        <v>840</v>
      </c>
      <c r="M48" s="220">
        <v>595</v>
      </c>
      <c r="N48" s="220">
        <v>40</v>
      </c>
      <c r="O48" s="221">
        <v>0</v>
      </c>
      <c r="P48" s="207">
        <f>SUM(C48:O48)</f>
        <v>38815</v>
      </c>
      <c r="Q48" s="208">
        <f>P48/U48-1</f>
        <v>9.0247738891073626E-2</v>
      </c>
      <c r="R48" s="209">
        <f>P48/X48-1</f>
        <v>0.14167137277048325</v>
      </c>
      <c r="S48" s="438">
        <f>P48/Y48-1</f>
        <v>-6.9555898468909305E-5</v>
      </c>
      <c r="T48" s="432"/>
      <c r="U48" s="258">
        <v>35602</v>
      </c>
      <c r="V48" s="36">
        <v>31825</v>
      </c>
      <c r="W48" s="36">
        <v>3777</v>
      </c>
      <c r="X48" s="36">
        <v>33998.400000000001</v>
      </c>
      <c r="Y48" s="36">
        <v>38817.699999999997</v>
      </c>
    </row>
    <row r="49" spans="1:26" ht="16.5" thickBot="1">
      <c r="A49" s="458"/>
      <c r="B49" s="102" t="s">
        <v>70</v>
      </c>
      <c r="C49" s="254">
        <v>28</v>
      </c>
      <c r="D49" s="71">
        <v>30</v>
      </c>
      <c r="E49" s="71">
        <v>25</v>
      </c>
      <c r="F49" s="71">
        <v>32</v>
      </c>
      <c r="G49" s="71">
        <v>28</v>
      </c>
      <c r="H49" s="71">
        <v>30</v>
      </c>
      <c r="I49" s="71">
        <v>31</v>
      </c>
      <c r="J49" s="71">
        <v>33</v>
      </c>
      <c r="K49" s="255">
        <v>27</v>
      </c>
      <c r="L49" s="256">
        <v>20</v>
      </c>
      <c r="M49" s="256">
        <v>20</v>
      </c>
      <c r="N49" s="256">
        <v>14</v>
      </c>
      <c r="O49" s="257">
        <v>0</v>
      </c>
      <c r="P49" s="71">
        <f>SUMPRODUCT(C49:O49,C48:O48)/P48</f>
        <v>28.741208295761947</v>
      </c>
      <c r="Q49" s="427">
        <f>P49-U49</f>
        <v>0.64539626273009532</v>
      </c>
      <c r="R49" s="427">
        <f>P49-X49</f>
        <v>2.6266911420135344</v>
      </c>
      <c r="S49" s="436">
        <f>O49-Y49</f>
        <v>-26.653328249741744</v>
      </c>
      <c r="T49" s="434"/>
      <c r="U49" s="259">
        <v>28.095812033031851</v>
      </c>
      <c r="V49" s="37">
        <v>28.439531814611154</v>
      </c>
      <c r="W49" s="37">
        <v>25.199629335451416</v>
      </c>
      <c r="X49" s="37">
        <v>26.114517153748412</v>
      </c>
      <c r="Y49" s="37">
        <v>26.653328249741744</v>
      </c>
      <c r="Z49" s="53"/>
    </row>
    <row r="50" spans="1:26" ht="16">
      <c r="A50" s="460" t="s">
        <v>65</v>
      </c>
      <c r="B50" s="159" t="s">
        <v>2</v>
      </c>
      <c r="C50" s="160">
        <v>4160</v>
      </c>
      <c r="D50" s="161">
        <v>690</v>
      </c>
      <c r="E50" s="161">
        <v>42960</v>
      </c>
      <c r="F50" s="161">
        <v>62270</v>
      </c>
      <c r="G50" s="161">
        <v>2730</v>
      </c>
      <c r="H50" s="161">
        <v>2780</v>
      </c>
      <c r="I50" s="161">
        <v>22680</v>
      </c>
      <c r="J50" s="162">
        <v>21350</v>
      </c>
      <c r="K50" s="219">
        <v>16540</v>
      </c>
      <c r="L50" s="220">
        <v>1990</v>
      </c>
      <c r="M50" s="220">
        <v>475</v>
      </c>
      <c r="N50" s="220">
        <v>10</v>
      </c>
      <c r="O50" s="221">
        <v>15</v>
      </c>
      <c r="P50" s="207">
        <f>SUM(C50:O50)</f>
        <v>178650</v>
      </c>
      <c r="Q50" s="208">
        <f>P50/U50-1</f>
        <v>-2.9102470041574957E-2</v>
      </c>
      <c r="R50" s="209">
        <f>P50/X50-1</f>
        <v>-8.5128850114762122E-2</v>
      </c>
      <c r="S50" s="438">
        <f>P50/Y50-1</f>
        <v>-9.8775060510457036E-2</v>
      </c>
      <c r="T50" s="432"/>
      <c r="U50" s="258">
        <v>184005</v>
      </c>
      <c r="V50" s="36">
        <v>165050</v>
      </c>
      <c r="W50" s="36">
        <v>18955</v>
      </c>
      <c r="X50" s="36">
        <v>195273.4</v>
      </c>
      <c r="Y50" s="36">
        <v>198230.2</v>
      </c>
    </row>
    <row r="51" spans="1:26" ht="16.5" thickBot="1">
      <c r="A51" s="458"/>
      <c r="B51" s="102" t="s">
        <v>70</v>
      </c>
      <c r="C51" s="254">
        <v>17</v>
      </c>
      <c r="D51" s="71">
        <v>20</v>
      </c>
      <c r="E51" s="71">
        <v>15</v>
      </c>
      <c r="F51" s="71">
        <v>15</v>
      </c>
      <c r="G51" s="71">
        <v>22</v>
      </c>
      <c r="H51" s="71">
        <v>22</v>
      </c>
      <c r="I51" s="71">
        <v>16</v>
      </c>
      <c r="J51" s="71">
        <v>18</v>
      </c>
      <c r="K51" s="255">
        <v>16</v>
      </c>
      <c r="L51" s="256">
        <v>13</v>
      </c>
      <c r="M51" s="256">
        <v>13</v>
      </c>
      <c r="N51" s="256">
        <v>13</v>
      </c>
      <c r="O51" s="257">
        <v>12</v>
      </c>
      <c r="P51" s="71">
        <f>SUMPRODUCT(C51:O51,C50:O50)/P50</f>
        <v>15.831877973691576</v>
      </c>
      <c r="Q51" s="427">
        <f>P51-U51</f>
        <v>-4.3514322624433106</v>
      </c>
      <c r="R51" s="427">
        <f>P51-X51</f>
        <v>-4.4545778364699729</v>
      </c>
      <c r="S51" s="436">
        <f>O51-Y51</f>
        <v>-8.7311529726550248</v>
      </c>
      <c r="T51" s="434"/>
      <c r="U51" s="259">
        <v>20.183310236134886</v>
      </c>
      <c r="V51" s="37">
        <v>20.368312632535595</v>
      </c>
      <c r="W51" s="37">
        <v>18.572408335531524</v>
      </c>
      <c r="X51" s="37">
        <v>20.286455810161549</v>
      </c>
      <c r="Y51" s="37">
        <v>20.731152972655025</v>
      </c>
      <c r="Z51" s="53"/>
    </row>
    <row r="52" spans="1:26" ht="16">
      <c r="A52" s="460" t="s">
        <v>66</v>
      </c>
      <c r="B52" s="159" t="s">
        <v>2</v>
      </c>
      <c r="C52" s="160">
        <v>1100</v>
      </c>
      <c r="D52" s="161">
        <v>60</v>
      </c>
      <c r="E52" s="161">
        <v>5230</v>
      </c>
      <c r="F52" s="161">
        <v>17030</v>
      </c>
      <c r="G52" s="161">
        <v>390</v>
      </c>
      <c r="H52" s="161">
        <v>4280</v>
      </c>
      <c r="I52" s="161">
        <v>1720</v>
      </c>
      <c r="J52" s="162">
        <v>2340</v>
      </c>
      <c r="K52" s="219">
        <v>1280</v>
      </c>
      <c r="L52" s="220">
        <v>25</v>
      </c>
      <c r="M52" s="220">
        <v>3</v>
      </c>
      <c r="N52" s="220">
        <v>0</v>
      </c>
      <c r="O52" s="221">
        <v>0</v>
      </c>
      <c r="P52" s="207">
        <f>SUM(C52:O52)</f>
        <v>33458</v>
      </c>
      <c r="Q52" s="208">
        <f>P52/U52-1</f>
        <v>-4.4521232544192824E-2</v>
      </c>
      <c r="R52" s="209">
        <f>P52/X52-1</f>
        <v>-0.34926111631923507</v>
      </c>
      <c r="S52" s="438">
        <f>P52/Y52-1</f>
        <v>-0.35443663221912647</v>
      </c>
      <c r="T52" s="432"/>
      <c r="U52" s="258">
        <v>35017</v>
      </c>
      <c r="V52" s="36">
        <v>33850</v>
      </c>
      <c r="W52" s="36">
        <v>1167</v>
      </c>
      <c r="X52" s="36">
        <v>51415.4</v>
      </c>
      <c r="Y52" s="36">
        <v>51827.6</v>
      </c>
    </row>
    <row r="53" spans="1:26" ht="16.5" thickBot="1">
      <c r="A53" s="461"/>
      <c r="B53" s="102" t="s">
        <v>70</v>
      </c>
      <c r="C53" s="254">
        <v>33</v>
      </c>
      <c r="D53" s="71">
        <v>20</v>
      </c>
      <c r="E53" s="71">
        <v>30</v>
      </c>
      <c r="F53" s="71">
        <v>22</v>
      </c>
      <c r="G53" s="71">
        <v>22</v>
      </c>
      <c r="H53" s="71">
        <v>29</v>
      </c>
      <c r="I53" s="71">
        <v>25</v>
      </c>
      <c r="J53" s="71">
        <v>29</v>
      </c>
      <c r="K53" s="255">
        <v>17</v>
      </c>
      <c r="L53" s="256">
        <v>17</v>
      </c>
      <c r="M53" s="256">
        <v>12</v>
      </c>
      <c r="N53" s="256">
        <v>0</v>
      </c>
      <c r="O53" s="257">
        <v>0</v>
      </c>
      <c r="P53" s="71">
        <f>SUMPRODUCT(C53:O53,C52:O52)/P52</f>
        <v>24.951909857134318</v>
      </c>
      <c r="Q53" s="427">
        <f>P53-U53</f>
        <v>1.251050274645813</v>
      </c>
      <c r="R53" s="427">
        <f>P53-X53</f>
        <v>2.9973981738643261</v>
      </c>
      <c r="S53" s="436">
        <f>O53-Y53</f>
        <v>-24.43284659139146</v>
      </c>
      <c r="T53" s="434"/>
      <c r="U53" s="259">
        <v>23.700859582488505</v>
      </c>
      <c r="V53" s="37">
        <v>23.793500738552439</v>
      </c>
      <c r="W53" s="37">
        <v>21.013710368466153</v>
      </c>
      <c r="X53" s="37">
        <v>21.954511683269992</v>
      </c>
      <c r="Y53" s="37">
        <v>24.43284659139146</v>
      </c>
      <c r="Z53" s="53"/>
    </row>
    <row r="54" spans="1:26" ht="16.5" thickBot="1">
      <c r="A54" s="78" t="s">
        <v>99</v>
      </c>
      <c r="B54" s="93" t="s">
        <v>2</v>
      </c>
      <c r="C54" s="96">
        <f>C48+C50+C52</f>
        <v>6860</v>
      </c>
      <c r="D54" s="92">
        <f t="shared" ref="D54:N54" si="4">D48+D50+D52</f>
        <v>2900</v>
      </c>
      <c r="E54" s="92">
        <f t="shared" si="4"/>
        <v>59340</v>
      </c>
      <c r="F54" s="92">
        <f t="shared" si="4"/>
        <v>87370</v>
      </c>
      <c r="G54" s="92">
        <f t="shared" si="4"/>
        <v>3640</v>
      </c>
      <c r="H54" s="92">
        <f t="shared" si="4"/>
        <v>7950</v>
      </c>
      <c r="I54" s="92">
        <f t="shared" si="4"/>
        <v>32100</v>
      </c>
      <c r="J54" s="97">
        <f t="shared" si="4"/>
        <v>26700</v>
      </c>
      <c r="K54" s="231">
        <f t="shared" si="4"/>
        <v>20070</v>
      </c>
      <c r="L54" s="232">
        <f t="shared" si="4"/>
        <v>2855</v>
      </c>
      <c r="M54" s="232">
        <f>M48+M50+M52</f>
        <v>1073</v>
      </c>
      <c r="N54" s="232">
        <f t="shared" si="4"/>
        <v>50</v>
      </c>
      <c r="O54" s="233">
        <f>O48+O50+O52</f>
        <v>15</v>
      </c>
      <c r="P54" s="204">
        <f>SUM(C54:O54)</f>
        <v>250923</v>
      </c>
      <c r="Q54" s="205">
        <f>P54/U54-1</f>
        <v>-1.4535157722759817E-2</v>
      </c>
      <c r="R54" s="205">
        <f>P54/X54-1</f>
        <v>-0.1060404606978872</v>
      </c>
      <c r="S54" s="441">
        <f>P54/Y54-1</f>
        <v>-0.13138012742513638</v>
      </c>
      <c r="T54" s="432"/>
      <c r="U54" s="261">
        <f>U48+U50+U52</f>
        <v>254624</v>
      </c>
      <c r="V54" s="76">
        <f>V48+V50+V52</f>
        <v>230725</v>
      </c>
      <c r="W54" s="76">
        <f>W48+W50+W52</f>
        <v>23899</v>
      </c>
      <c r="X54" s="76">
        <f>X48+X50+X52</f>
        <v>280687.2</v>
      </c>
      <c r="Y54" s="76">
        <f>Y48+Y50+Y52</f>
        <v>288875.5</v>
      </c>
    </row>
    <row r="55" spans="1:26" ht="16">
      <c r="A55" s="457" t="s">
        <v>67</v>
      </c>
      <c r="B55" s="166" t="s">
        <v>2</v>
      </c>
      <c r="C55" s="156">
        <v>410</v>
      </c>
      <c r="D55" s="157">
        <v>350</v>
      </c>
      <c r="E55" s="157">
        <v>2810</v>
      </c>
      <c r="F55" s="157">
        <v>9810</v>
      </c>
      <c r="G55" s="157">
        <v>430</v>
      </c>
      <c r="H55" s="157">
        <v>370</v>
      </c>
      <c r="I55" s="157">
        <v>3510</v>
      </c>
      <c r="J55" s="158">
        <v>2060</v>
      </c>
      <c r="K55" s="228">
        <v>605</v>
      </c>
      <c r="L55" s="229">
        <v>235</v>
      </c>
      <c r="M55" s="229">
        <v>260</v>
      </c>
      <c r="N55" s="229">
        <v>3</v>
      </c>
      <c r="O55" s="230">
        <v>12</v>
      </c>
      <c r="P55" s="199">
        <f>SUM(C55:O55)</f>
        <v>20865</v>
      </c>
      <c r="Q55" s="200">
        <f>P55/U55-1</f>
        <v>0.16818767146296398</v>
      </c>
      <c r="R55" s="201">
        <f>P55/X55-1</f>
        <v>0.47150090977051229</v>
      </c>
      <c r="S55" s="440">
        <f>P55/Y55-1</f>
        <v>0.68243063450978503</v>
      </c>
      <c r="T55" s="432"/>
      <c r="U55" s="258">
        <v>17861</v>
      </c>
      <c r="V55" s="36">
        <v>16610</v>
      </c>
      <c r="W55" s="36">
        <v>1251</v>
      </c>
      <c r="X55" s="36">
        <v>14179.4</v>
      </c>
      <c r="Y55" s="36">
        <v>12401.699999999999</v>
      </c>
    </row>
    <row r="56" spans="1:26" ht="16.5" thickBot="1">
      <c r="A56" s="458"/>
      <c r="B56" s="102" t="s">
        <v>70</v>
      </c>
      <c r="C56" s="254">
        <v>17</v>
      </c>
      <c r="D56" s="71">
        <v>16</v>
      </c>
      <c r="E56" s="71">
        <v>19</v>
      </c>
      <c r="F56" s="71">
        <v>25</v>
      </c>
      <c r="G56" s="71">
        <v>12</v>
      </c>
      <c r="H56" s="71">
        <v>20</v>
      </c>
      <c r="I56" s="71">
        <v>15</v>
      </c>
      <c r="J56" s="71">
        <v>14.2</v>
      </c>
      <c r="K56" s="255">
        <v>18</v>
      </c>
      <c r="L56" s="256">
        <v>19</v>
      </c>
      <c r="M56" s="256">
        <v>20</v>
      </c>
      <c r="N56" s="256">
        <v>10</v>
      </c>
      <c r="O56" s="257">
        <v>14</v>
      </c>
      <c r="P56" s="71">
        <f>SUMPRODUCT(C56:O56,C55:O55)/P55</f>
        <v>20.437335250419363</v>
      </c>
      <c r="Q56" s="427">
        <f>P56-U56</f>
        <v>3.1407113211880748</v>
      </c>
      <c r="R56" s="427">
        <f>P56-X56</f>
        <v>4.4787051250261865</v>
      </c>
      <c r="S56" s="436">
        <f>O56-Y56</f>
        <v>-2.9537966569099403</v>
      </c>
      <c r="T56" s="432"/>
      <c r="U56" s="259">
        <v>17.296623929231288</v>
      </c>
      <c r="V56" s="37">
        <v>17.42022877784467</v>
      </c>
      <c r="W56" s="37">
        <v>15.655475619504397</v>
      </c>
      <c r="X56" s="37">
        <v>15.958630125393176</v>
      </c>
      <c r="Y56" s="37">
        <v>16.95379665690994</v>
      </c>
    </row>
    <row r="57" spans="1:26" ht="16">
      <c r="A57" s="460" t="s">
        <v>68</v>
      </c>
      <c r="B57" s="159" t="s">
        <v>2</v>
      </c>
      <c r="C57" s="160">
        <v>330</v>
      </c>
      <c r="D57" s="161">
        <v>200</v>
      </c>
      <c r="E57" s="161">
        <v>4030</v>
      </c>
      <c r="F57" s="161">
        <v>5330</v>
      </c>
      <c r="G57" s="161">
        <v>480</v>
      </c>
      <c r="H57" s="161">
        <v>300</v>
      </c>
      <c r="I57" s="161">
        <v>1450</v>
      </c>
      <c r="J57" s="162">
        <v>370</v>
      </c>
      <c r="K57" s="219">
        <v>1375</v>
      </c>
      <c r="L57" s="220">
        <v>60</v>
      </c>
      <c r="M57" s="220">
        <v>450</v>
      </c>
      <c r="N57" s="220">
        <v>30</v>
      </c>
      <c r="O57" s="221">
        <v>2</v>
      </c>
      <c r="P57" s="207">
        <f>SUM(C57:O57)</f>
        <v>14407</v>
      </c>
      <c r="Q57" s="208">
        <f>P57/U57-1</f>
        <v>2.4242855111616723E-2</v>
      </c>
      <c r="R57" s="209">
        <f>P57/X57-1</f>
        <v>-0.15448900782891428</v>
      </c>
      <c r="S57" s="438">
        <f>P57/Y57-1</f>
        <v>-0.16234476022140565</v>
      </c>
      <c r="T57" s="432"/>
      <c r="U57" s="258">
        <v>14066</v>
      </c>
      <c r="V57" s="36">
        <v>11670</v>
      </c>
      <c r="W57" s="36">
        <v>2396</v>
      </c>
      <c r="X57" s="36">
        <v>17039.400000000001</v>
      </c>
      <c r="Y57" s="36">
        <v>17199.2</v>
      </c>
    </row>
    <row r="58" spans="1:26" ht="16.5" thickBot="1">
      <c r="A58" s="461"/>
      <c r="B58" s="102" t="s">
        <v>70</v>
      </c>
      <c r="C58" s="254">
        <v>32.090909090909093</v>
      </c>
      <c r="D58" s="71">
        <v>34.25</v>
      </c>
      <c r="E58" s="71">
        <v>31.362282878411911</v>
      </c>
      <c r="F58" s="71">
        <v>37.097560975609753</v>
      </c>
      <c r="G58" s="71">
        <v>36.083333333333336</v>
      </c>
      <c r="H58" s="71">
        <v>39</v>
      </c>
      <c r="I58" s="71">
        <v>35.434482758620689</v>
      </c>
      <c r="J58" s="71">
        <v>32.810810810810814</v>
      </c>
      <c r="K58" s="255">
        <v>33.901818181818179</v>
      </c>
      <c r="L58" s="256">
        <v>31</v>
      </c>
      <c r="M58" s="256">
        <v>25.5</v>
      </c>
      <c r="N58" s="256">
        <v>31.666666666666668</v>
      </c>
      <c r="O58" s="257">
        <v>34</v>
      </c>
      <c r="P58" s="71">
        <f>SUMPRODUCT(C58:O58,C57:O57)/P57</f>
        <v>34.36301797737211</v>
      </c>
      <c r="Q58" s="427">
        <f>P58-U58</f>
        <v>-0.13492031354215328</v>
      </c>
      <c r="R58" s="427">
        <f>P58-X58</f>
        <v>-0.31350819138969399</v>
      </c>
      <c r="S58" s="436">
        <f>O58-Y58</f>
        <v>2.8195904460672629</v>
      </c>
      <c r="T58" s="432"/>
      <c r="U58" s="259">
        <v>34.497938290914263</v>
      </c>
      <c r="V58" s="37">
        <v>34.625964010282779</v>
      </c>
      <c r="W58" s="37">
        <v>33.874373956594326</v>
      </c>
      <c r="X58" s="37">
        <v>34.676526168761804</v>
      </c>
      <c r="Y58" s="37">
        <v>31.180409553932737</v>
      </c>
    </row>
    <row r="59" spans="1:26" ht="16.5" thickBot="1">
      <c r="A59" s="78" t="s">
        <v>73</v>
      </c>
      <c r="B59" s="93" t="s">
        <v>2</v>
      </c>
      <c r="C59" s="96">
        <f>C57+C55</f>
        <v>740</v>
      </c>
      <c r="D59" s="92">
        <f t="shared" ref="D59:O59" si="5">D57+D55</f>
        <v>550</v>
      </c>
      <c r="E59" s="92">
        <f t="shared" si="5"/>
        <v>6840</v>
      </c>
      <c r="F59" s="92">
        <f t="shared" si="5"/>
        <v>15140</v>
      </c>
      <c r="G59" s="92">
        <f t="shared" si="5"/>
        <v>910</v>
      </c>
      <c r="H59" s="92">
        <f t="shared" si="5"/>
        <v>670</v>
      </c>
      <c r="I59" s="92">
        <f t="shared" si="5"/>
        <v>4960</v>
      </c>
      <c r="J59" s="97">
        <f t="shared" si="5"/>
        <v>2430</v>
      </c>
      <c r="K59" s="231">
        <f t="shared" si="5"/>
        <v>1980</v>
      </c>
      <c r="L59" s="232">
        <f t="shared" si="5"/>
        <v>295</v>
      </c>
      <c r="M59" s="232">
        <f t="shared" si="5"/>
        <v>710</v>
      </c>
      <c r="N59" s="232">
        <f>N57+N55</f>
        <v>33</v>
      </c>
      <c r="O59" s="233">
        <f t="shared" si="5"/>
        <v>14</v>
      </c>
      <c r="P59" s="204">
        <f>SUM(C59:O59)</f>
        <v>35272</v>
      </c>
      <c r="Q59" s="205">
        <f>P59/U59-1</f>
        <v>0.10477025714912136</v>
      </c>
      <c r="R59" s="205">
        <f>P59/X59-1</f>
        <v>0.12983202429305418</v>
      </c>
      <c r="S59" s="441">
        <f>P59/Y59-1</f>
        <v>0.19158539098473359</v>
      </c>
      <c r="T59" s="432"/>
      <c r="U59" s="261">
        <f>U57+U55</f>
        <v>31927</v>
      </c>
      <c r="V59" s="76">
        <f>V57+V55</f>
        <v>28280</v>
      </c>
      <c r="W59" s="76">
        <f>W57+W55</f>
        <v>3647</v>
      </c>
      <c r="X59" s="76">
        <f>X57+X55</f>
        <v>31218.800000000003</v>
      </c>
      <c r="Y59" s="76">
        <f>Y57+Y55</f>
        <v>29600.9</v>
      </c>
    </row>
    <row r="60" spans="1:26" ht="42.5" thickBot="1">
      <c r="A60" s="77" t="s">
        <v>114</v>
      </c>
      <c r="B60" s="93" t="s">
        <v>2</v>
      </c>
      <c r="C60" s="96">
        <f>C59+C54+C46+C45</f>
        <v>25625</v>
      </c>
      <c r="D60" s="92">
        <f t="shared" ref="D60:O60" si="6">D59+D54+D46+D45</f>
        <v>57110</v>
      </c>
      <c r="E60" s="92">
        <f t="shared" si="6"/>
        <v>185640</v>
      </c>
      <c r="F60" s="92">
        <f t="shared" si="6"/>
        <v>265380</v>
      </c>
      <c r="G60" s="92">
        <f t="shared" si="6"/>
        <v>26960</v>
      </c>
      <c r="H60" s="92">
        <f t="shared" si="6"/>
        <v>44740</v>
      </c>
      <c r="I60" s="92">
        <f t="shared" si="6"/>
        <v>126815</v>
      </c>
      <c r="J60" s="97">
        <f t="shared" si="6"/>
        <v>100230</v>
      </c>
      <c r="K60" s="231">
        <f t="shared" si="6"/>
        <v>57425</v>
      </c>
      <c r="L60" s="232">
        <f>L59+L54+L46+L45</f>
        <v>18165</v>
      </c>
      <c r="M60" s="232">
        <f t="shared" si="6"/>
        <v>13168</v>
      </c>
      <c r="N60" s="232">
        <f>N59+N54+N46+N45</f>
        <v>13608</v>
      </c>
      <c r="O60" s="233">
        <f t="shared" si="6"/>
        <v>1203</v>
      </c>
      <c r="P60" s="204">
        <f>P35+P42+P54+P59+P46</f>
        <v>917074</v>
      </c>
      <c r="Q60" s="205">
        <f>P60/U60-1</f>
        <v>5.0585565408853395E-2</v>
      </c>
      <c r="R60" s="205">
        <f>P60/X60-1</f>
        <v>-2.6648985726964391E-2</v>
      </c>
      <c r="S60" s="441">
        <f>P60/Y60-1</f>
        <v>-7.9645118919925761E-2</v>
      </c>
      <c r="T60" s="432"/>
      <c r="U60" s="261">
        <f>U35+U42+U54+U59+U46</f>
        <v>872917</v>
      </c>
      <c r="V60" s="76">
        <f>V35+V42+V54+V59+V46</f>
        <v>771666</v>
      </c>
      <c r="W60" s="76">
        <f>W35+W42+W54+W59+W46</f>
        <v>101251</v>
      </c>
      <c r="X60" s="76">
        <f>X35+X42+X54+X59+X46</f>
        <v>942182.2</v>
      </c>
      <c r="Y60" s="76">
        <f>Y35+Y42+Y54+Y59+Y46</f>
        <v>996435.20000000007</v>
      </c>
    </row>
    <row r="61" spans="1:26" ht="16">
      <c r="A61" s="462" t="s">
        <v>69</v>
      </c>
      <c r="B61" s="167" t="s">
        <v>2</v>
      </c>
      <c r="C61" s="168">
        <v>1630</v>
      </c>
      <c r="D61" s="169">
        <v>12030</v>
      </c>
      <c r="E61" s="169">
        <v>2980</v>
      </c>
      <c r="F61" s="169">
        <v>650</v>
      </c>
      <c r="G61" s="169">
        <v>2720</v>
      </c>
      <c r="H61" s="169">
        <v>1800</v>
      </c>
      <c r="I61" s="169">
        <v>3760</v>
      </c>
      <c r="J61" s="170">
        <v>1030</v>
      </c>
      <c r="K61" s="234">
        <v>210</v>
      </c>
      <c r="L61" s="235">
        <v>0</v>
      </c>
      <c r="M61" s="235">
        <v>15</v>
      </c>
      <c r="N61" s="235">
        <v>265</v>
      </c>
      <c r="O61" s="236">
        <v>50</v>
      </c>
      <c r="P61" s="213">
        <f>SUM(C61:O61)</f>
        <v>27140</v>
      </c>
      <c r="Q61" s="214">
        <f>P61/U61-1</f>
        <v>-6.0249307479224412E-2</v>
      </c>
      <c r="R61" s="215">
        <f>P61/X61-1</f>
        <v>-0.12221690363144755</v>
      </c>
      <c r="S61" s="435">
        <f>P61/Y61-1</f>
        <v>-0.19755422570191827</v>
      </c>
      <c r="T61" s="432"/>
      <c r="U61" s="258">
        <v>28880</v>
      </c>
      <c r="V61" s="36">
        <v>28350</v>
      </c>
      <c r="W61" s="36">
        <v>530</v>
      </c>
      <c r="X61" s="36">
        <v>30918.799999999999</v>
      </c>
      <c r="Y61" s="36">
        <v>33821.599999999999</v>
      </c>
      <c r="Z61" s="25"/>
    </row>
    <row r="62" spans="1:26" ht="16.5" thickBot="1">
      <c r="A62" s="463"/>
      <c r="B62" s="104" t="s">
        <v>70</v>
      </c>
      <c r="C62" s="262">
        <v>81.96</v>
      </c>
      <c r="D62" s="263">
        <v>77.040000000000006</v>
      </c>
      <c r="E62" s="263">
        <v>81.069999999999993</v>
      </c>
      <c r="F62" s="263">
        <v>78.31</v>
      </c>
      <c r="G62" s="263">
        <v>60</v>
      </c>
      <c r="H62" s="263">
        <v>61.11</v>
      </c>
      <c r="I62" s="263">
        <v>82.93</v>
      </c>
      <c r="J62" s="263">
        <v>89.81</v>
      </c>
      <c r="K62" s="264">
        <v>63.38</v>
      </c>
      <c r="L62" s="265">
        <v>0</v>
      </c>
      <c r="M62" s="265">
        <v>63.4</v>
      </c>
      <c r="N62" s="265">
        <v>80.14</v>
      </c>
      <c r="O62" s="266">
        <v>56.44</v>
      </c>
      <c r="P62" s="263">
        <f>SUMPRODUCT(C62:O62,C61:O61)/P61</f>
        <v>76.223843036109074</v>
      </c>
      <c r="Q62" s="428">
        <f>P62-U62</f>
        <v>-35.582081479126387</v>
      </c>
      <c r="R62" s="428">
        <f>P62-X62</f>
        <v>-15.144741773133205</v>
      </c>
      <c r="S62" s="442">
        <f>O62-Y62</f>
        <v>-34.460436407502911</v>
      </c>
      <c r="T62" s="432"/>
      <c r="U62" s="259">
        <v>111.80592451523546</v>
      </c>
      <c r="V62" s="37">
        <v>112.24903703703704</v>
      </c>
      <c r="W62" s="37">
        <v>88.103584905660384</v>
      </c>
      <c r="X62" s="37">
        <v>91.368584809242279</v>
      </c>
      <c r="Y62" s="37">
        <v>90.900436407502909</v>
      </c>
      <c r="Z62" s="25"/>
    </row>
    <row r="64" spans="1:26" ht="13">
      <c r="A64" s="198" t="s">
        <v>116</v>
      </c>
    </row>
    <row r="65" spans="1:25" ht="10" customHeight="1"/>
    <row r="66" spans="1:25" ht="14.5" customHeight="1">
      <c r="A66" s="34" t="s">
        <v>52</v>
      </c>
      <c r="B66" s="30"/>
      <c r="C66" s="58"/>
      <c r="D66" s="58"/>
      <c r="E66" s="58"/>
      <c r="F66" s="58"/>
      <c r="G66" s="58"/>
      <c r="H66" s="58"/>
      <c r="I66" s="58"/>
      <c r="J66" s="58"/>
      <c r="K66" s="57"/>
      <c r="L66" s="57"/>
      <c r="M66" s="57"/>
      <c r="N66" s="57"/>
      <c r="O66" s="57"/>
      <c r="P66" s="56"/>
      <c r="Q66" s="55"/>
      <c r="R66" s="55"/>
      <c r="S66" s="55"/>
      <c r="U66" s="25"/>
      <c r="V66" s="25"/>
      <c r="W66" s="25"/>
      <c r="X66" s="25"/>
      <c r="Y66" s="25"/>
    </row>
    <row r="67" spans="1:25" ht="14.5" customHeight="1">
      <c r="A67" s="34" t="s">
        <v>78</v>
      </c>
    </row>
    <row r="68" spans="1:25" ht="14.5" customHeight="1">
      <c r="A68" s="35" t="s">
        <v>79</v>
      </c>
    </row>
    <row r="69" spans="1:25" ht="14.5" customHeight="1">
      <c r="A69" s="35" t="s">
        <v>113</v>
      </c>
    </row>
    <row r="70" spans="1:25" ht="14.5" customHeight="1">
      <c r="A70" s="35" t="s">
        <v>181</v>
      </c>
      <c r="P70" s="28"/>
    </row>
    <row r="71" spans="1:25" ht="13.5" customHeight="1">
      <c r="A71" s="35" t="s">
        <v>132</v>
      </c>
    </row>
    <row r="72" spans="1:25" ht="15" customHeight="1"/>
    <row r="73" spans="1:25" ht="13.5" customHeight="1"/>
    <row r="74" spans="1:25" ht="13.5" customHeight="1"/>
    <row r="75" spans="1:25" ht="13.5" customHeight="1"/>
    <row r="76" spans="1:25" ht="13.5" customHeight="1"/>
    <row r="77" spans="1:25" ht="13.5" customHeight="1"/>
    <row r="78" spans="1:25" ht="14.25" customHeight="1"/>
    <row r="79" spans="1:25" ht="19.5" customHeight="1"/>
    <row r="90" ht="13.4" customHeight="1"/>
  </sheetData>
  <sheetProtection selectLockedCells="1" selectUnlockedCells="1"/>
  <mergeCells count="22">
    <mergeCell ref="A55:A56"/>
    <mergeCell ref="A57:A58"/>
    <mergeCell ref="A61:A62"/>
    <mergeCell ref="A46:A47"/>
    <mergeCell ref="A38:A39"/>
    <mergeCell ref="A40:A41"/>
    <mergeCell ref="A43:A44"/>
    <mergeCell ref="A48:A49"/>
    <mergeCell ref="A50:A51"/>
    <mergeCell ref="A52:A53"/>
    <mergeCell ref="A36:A37"/>
    <mergeCell ref="A1:M1"/>
    <mergeCell ref="A15:A16"/>
    <mergeCell ref="A17:A18"/>
    <mergeCell ref="A19:A20"/>
    <mergeCell ref="A21:A22"/>
    <mergeCell ref="A23:A24"/>
    <mergeCell ref="A25:A26"/>
    <mergeCell ref="A27:A28"/>
    <mergeCell ref="A29:A30"/>
    <mergeCell ref="A31:A32"/>
    <mergeCell ref="A33:A34"/>
  </mergeCells>
  <hyperlinks>
    <hyperlink ref="U1" location="'Sommaire&amp;Méthodo'!A1" display="Retour Sommaire" xr:uid="{00000000-0004-0000-0200-000000000000}"/>
  </hyperlinks>
  <pageMargins left="0.74803149606299213" right="0.74803149606299213" top="0.98425196850393704" bottom="0.98425196850393704" header="0.51181102362204722" footer="0.51181102362204722"/>
  <pageSetup paperSize="9" scale="39" firstPageNumber="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U139"/>
  <sheetViews>
    <sheetView showGridLines="0" topLeftCell="A16" zoomScale="120" zoomScaleNormal="120" workbookViewId="0">
      <selection activeCell="D100" sqref="D100"/>
    </sheetView>
  </sheetViews>
  <sheetFormatPr baseColWidth="10" defaultColWidth="11.54296875" defaultRowHeight="13"/>
  <cols>
    <col min="1" max="1" width="11.54296875" style="21"/>
    <col min="2" max="2" width="17" style="21" customWidth="1"/>
    <col min="3" max="3" width="24.08984375" style="21" customWidth="1"/>
    <col min="4" max="5" width="9.453125" style="21" customWidth="1"/>
    <col min="6" max="7" width="10.453125" style="21" customWidth="1"/>
    <col min="8" max="8" width="9.453125" style="21" customWidth="1"/>
    <col min="9" max="9" width="9.54296875" style="21" customWidth="1"/>
    <col min="10" max="10" width="9.453125" style="21" customWidth="1"/>
    <col min="11" max="11" width="10.453125" style="21" customWidth="1"/>
    <col min="12" max="12" width="9.453125" style="21" customWidth="1"/>
    <col min="13" max="13" width="10" style="21" customWidth="1"/>
    <col min="14" max="15" width="9.54296875" style="21" customWidth="1"/>
    <col min="16" max="16" width="14" style="21" customWidth="1"/>
    <col min="17" max="17" width="13.81640625" style="72" customWidth="1"/>
    <col min="18" max="18" width="13.26953125" style="21" customWidth="1"/>
    <col min="19" max="16384" width="11.54296875" style="21"/>
  </cols>
  <sheetData>
    <row r="1" spans="1:21" ht="16">
      <c r="A1" s="459"/>
      <c r="B1" s="459"/>
      <c r="C1" s="459"/>
      <c r="D1" s="459"/>
      <c r="E1" s="459"/>
      <c r="F1" s="459"/>
      <c r="G1" s="459"/>
      <c r="H1" s="459"/>
      <c r="I1" s="459"/>
      <c r="J1" s="459"/>
      <c r="K1" s="459"/>
      <c r="L1" s="459"/>
      <c r="M1" s="459"/>
      <c r="N1" s="75"/>
      <c r="Q1" s="65"/>
      <c r="T1" s="105" t="s">
        <v>91</v>
      </c>
    </row>
    <row r="2" spans="1:21">
      <c r="A2" s="22"/>
      <c r="Q2" s="65"/>
    </row>
    <row r="3" spans="1:21">
      <c r="A3" s="22"/>
      <c r="Q3" s="65"/>
    </row>
    <row r="4" spans="1:21">
      <c r="A4" s="22"/>
      <c r="Q4" s="65"/>
    </row>
    <row r="5" spans="1:21">
      <c r="A5" s="22"/>
      <c r="Q5" s="65"/>
    </row>
    <row r="6" spans="1:21">
      <c r="A6" s="22"/>
      <c r="Q6" s="65"/>
    </row>
    <row r="7" spans="1:21" ht="14">
      <c r="B7" s="23"/>
      <c r="C7" s="23"/>
      <c r="D7" s="23"/>
      <c r="E7" s="24"/>
      <c r="F7" s="24"/>
      <c r="G7" s="24"/>
      <c r="H7" s="24"/>
      <c r="I7" s="24"/>
      <c r="J7" s="24"/>
      <c r="K7" s="25"/>
      <c r="L7" s="25"/>
      <c r="M7" s="25"/>
      <c r="N7" s="25"/>
      <c r="O7" s="25"/>
      <c r="P7" s="25"/>
      <c r="Q7" s="25"/>
      <c r="R7" s="25"/>
      <c r="U7" s="26"/>
    </row>
    <row r="8" spans="1:21" ht="26.25" customHeight="1">
      <c r="B8" s="23"/>
      <c r="C8" s="23"/>
      <c r="D8" s="23"/>
      <c r="E8" s="24"/>
      <c r="F8" s="24"/>
      <c r="G8" s="24"/>
      <c r="H8" s="24"/>
      <c r="I8" s="24"/>
      <c r="J8" s="24"/>
      <c r="K8" s="25"/>
      <c r="L8" s="25"/>
      <c r="M8" s="25"/>
      <c r="N8" s="25"/>
      <c r="O8" s="25"/>
      <c r="P8" s="25"/>
      <c r="Q8" s="25"/>
      <c r="R8" s="25"/>
      <c r="U8" s="26"/>
    </row>
    <row r="9" spans="1:21" ht="14.5" thickBot="1">
      <c r="C9" s="23"/>
      <c r="D9" s="23"/>
      <c r="E9" s="23"/>
      <c r="F9" s="24"/>
      <c r="G9" s="24"/>
      <c r="H9" s="24"/>
      <c r="I9" s="24"/>
      <c r="J9" s="24"/>
      <c r="K9" s="24"/>
      <c r="L9" s="25"/>
      <c r="M9" s="25"/>
      <c r="N9" s="25"/>
      <c r="O9" s="25"/>
      <c r="P9" s="25"/>
      <c r="Q9" s="20"/>
      <c r="R9" s="40"/>
    </row>
    <row r="10" spans="1:21" ht="17.5">
      <c r="B10" s="456" t="s">
        <v>183</v>
      </c>
      <c r="C10" s="110"/>
      <c r="D10" s="110"/>
      <c r="E10" s="110"/>
      <c r="F10" s="110"/>
      <c r="G10" s="110"/>
      <c r="H10" s="81"/>
      <c r="I10" s="81"/>
      <c r="J10" s="81"/>
      <c r="K10" s="81"/>
      <c r="L10" s="82"/>
      <c r="M10" s="82"/>
      <c r="N10" s="82"/>
      <c r="O10" s="82"/>
      <c r="P10" s="82"/>
      <c r="Q10" s="111"/>
      <c r="R10" s="40"/>
    </row>
    <row r="11" spans="1:21" ht="14.25" customHeight="1">
      <c r="B11" s="171" t="s">
        <v>76</v>
      </c>
      <c r="C11" s="38"/>
      <c r="D11" s="38"/>
      <c r="E11" s="38"/>
      <c r="F11" s="38"/>
      <c r="G11" s="38"/>
      <c r="H11" s="175"/>
      <c r="I11" s="21" t="s">
        <v>112</v>
      </c>
      <c r="J11" s="39"/>
      <c r="K11" s="39"/>
      <c r="L11" s="40"/>
      <c r="M11" s="40"/>
      <c r="N11" s="40"/>
      <c r="O11" s="40"/>
      <c r="P11" s="40"/>
      <c r="Q11" s="112"/>
      <c r="R11" s="40"/>
    </row>
    <row r="12" spans="1:21" ht="14.25" customHeight="1">
      <c r="B12" s="113"/>
      <c r="C12" s="38"/>
      <c r="D12" s="38"/>
      <c r="E12" s="38"/>
      <c r="F12" s="38"/>
      <c r="G12" s="38"/>
      <c r="H12" s="174"/>
      <c r="I12" s="39" t="s">
        <v>103</v>
      </c>
      <c r="J12" s="39"/>
      <c r="K12" s="39"/>
      <c r="L12" s="40"/>
      <c r="M12" s="40"/>
      <c r="N12" s="40"/>
      <c r="O12" s="40"/>
      <c r="P12" s="40"/>
      <c r="Q12" s="112"/>
      <c r="R12" s="40"/>
    </row>
    <row r="13" spans="1:21" ht="12" customHeight="1" thickBot="1">
      <c r="B13" s="114" t="s">
        <v>80</v>
      </c>
      <c r="C13" s="115"/>
      <c r="D13" s="115"/>
      <c r="E13" s="115"/>
      <c r="F13" s="115"/>
      <c r="G13" s="115"/>
      <c r="H13" s="88"/>
      <c r="I13" s="88"/>
      <c r="J13" s="88"/>
      <c r="K13" s="88"/>
      <c r="L13" s="89"/>
      <c r="M13" s="89"/>
      <c r="N13" s="89"/>
      <c r="O13" s="89"/>
      <c r="P13" s="89"/>
      <c r="Q13" s="116"/>
      <c r="R13" s="68"/>
    </row>
    <row r="14" spans="1:21" ht="53.5" customHeight="1" thickBot="1">
      <c r="B14" s="117" t="s">
        <v>56</v>
      </c>
      <c r="C14" s="176" t="s">
        <v>104</v>
      </c>
      <c r="D14" s="153" t="s">
        <v>39</v>
      </c>
      <c r="E14" s="118" t="s">
        <v>40</v>
      </c>
      <c r="F14" s="118" t="s">
        <v>41</v>
      </c>
      <c r="G14" s="118" t="s">
        <v>42</v>
      </c>
      <c r="H14" s="118" t="s">
        <v>43</v>
      </c>
      <c r="I14" s="118" t="s">
        <v>44</v>
      </c>
      <c r="J14" s="118" t="s">
        <v>45</v>
      </c>
      <c r="K14" s="119" t="s">
        <v>46</v>
      </c>
      <c r="L14" s="237" t="s">
        <v>47</v>
      </c>
      <c r="M14" s="238" t="s">
        <v>48</v>
      </c>
      <c r="N14" s="238" t="s">
        <v>49</v>
      </c>
      <c r="O14" s="238" t="s">
        <v>81</v>
      </c>
      <c r="P14" s="239" t="s">
        <v>82</v>
      </c>
      <c r="Q14" s="141" t="s">
        <v>50</v>
      </c>
      <c r="R14" s="131"/>
      <c r="S14" s="48"/>
    </row>
    <row r="15" spans="1:21" ht="16.5" customHeight="1">
      <c r="B15" s="467" t="s">
        <v>107</v>
      </c>
      <c r="C15" s="177" t="s">
        <v>108</v>
      </c>
      <c r="D15" s="178">
        <v>6650</v>
      </c>
      <c r="E15" s="179">
        <v>18470</v>
      </c>
      <c r="F15" s="179">
        <v>48690</v>
      </c>
      <c r="G15" s="179">
        <v>82830</v>
      </c>
      <c r="H15" s="179">
        <v>8650</v>
      </c>
      <c r="I15" s="179">
        <v>3710</v>
      </c>
      <c r="J15" s="179">
        <v>43090</v>
      </c>
      <c r="K15" s="180">
        <v>34770</v>
      </c>
      <c r="L15" s="181">
        <v>9640</v>
      </c>
      <c r="M15" s="182">
        <v>1865</v>
      </c>
      <c r="N15" s="182">
        <v>3225</v>
      </c>
      <c r="O15" s="182">
        <v>2350</v>
      </c>
      <c r="P15" s="183">
        <v>310</v>
      </c>
      <c r="Q15" s="184">
        <f>SUM(D15:P15)</f>
        <v>264250</v>
      </c>
      <c r="R15" s="132"/>
      <c r="S15" s="48"/>
      <c r="T15" s="54"/>
    </row>
    <row r="16" spans="1:21" ht="16.5" customHeight="1">
      <c r="B16" s="468"/>
      <c r="C16" s="147" t="s">
        <v>97</v>
      </c>
      <c r="D16" s="152">
        <v>6800</v>
      </c>
      <c r="E16" s="106">
        <v>16045</v>
      </c>
      <c r="F16" s="106">
        <v>43095</v>
      </c>
      <c r="G16" s="106">
        <v>60740</v>
      </c>
      <c r="H16" s="106">
        <v>6760</v>
      </c>
      <c r="I16" s="106">
        <v>3330</v>
      </c>
      <c r="J16" s="106">
        <v>38485</v>
      </c>
      <c r="K16" s="120">
        <v>25545</v>
      </c>
      <c r="L16" s="127">
        <v>8185</v>
      </c>
      <c r="M16" s="107">
        <v>1720</v>
      </c>
      <c r="N16" s="107">
        <v>2675</v>
      </c>
      <c r="O16" s="107">
        <v>2195</v>
      </c>
      <c r="P16" s="137">
        <v>285</v>
      </c>
      <c r="Q16" s="142">
        <f>SUM(D16:P16)</f>
        <v>215860</v>
      </c>
      <c r="R16" s="133"/>
      <c r="S16" s="48"/>
      <c r="T16" s="54"/>
    </row>
    <row r="17" spans="2:20" ht="16.5" customHeight="1">
      <c r="B17" s="468"/>
      <c r="C17" s="148" t="s">
        <v>94</v>
      </c>
      <c r="D17" s="152">
        <v>6680</v>
      </c>
      <c r="E17" s="106">
        <v>15945.8</v>
      </c>
      <c r="F17" s="106">
        <v>44798</v>
      </c>
      <c r="G17" s="106">
        <v>77345</v>
      </c>
      <c r="H17" s="106">
        <v>8225.4</v>
      </c>
      <c r="I17" s="106">
        <v>4281.2</v>
      </c>
      <c r="J17" s="106">
        <v>39467.4</v>
      </c>
      <c r="K17" s="120">
        <v>32657</v>
      </c>
      <c r="L17" s="127">
        <v>7952</v>
      </c>
      <c r="M17" s="107">
        <v>2195</v>
      </c>
      <c r="N17" s="107">
        <v>3431</v>
      </c>
      <c r="O17" s="107">
        <v>2058</v>
      </c>
      <c r="P17" s="137">
        <v>272</v>
      </c>
      <c r="Q17" s="142">
        <f>SUM(D17:P17)</f>
        <v>245307.8</v>
      </c>
      <c r="R17" s="133"/>
      <c r="S17" s="48"/>
      <c r="T17" s="54"/>
    </row>
    <row r="18" spans="2:20" ht="16.5" customHeight="1">
      <c r="B18" s="468"/>
      <c r="C18" s="148" t="s">
        <v>95</v>
      </c>
      <c r="D18" s="152">
        <v>7331.5</v>
      </c>
      <c r="E18" s="106">
        <v>15754.4</v>
      </c>
      <c r="F18" s="106">
        <v>45762</v>
      </c>
      <c r="G18" s="106">
        <v>86895</v>
      </c>
      <c r="H18" s="106">
        <v>9215.2000000000007</v>
      </c>
      <c r="I18" s="106">
        <v>5029.6000000000004</v>
      </c>
      <c r="J18" s="106">
        <v>40311.199999999997</v>
      </c>
      <c r="K18" s="120">
        <v>37643.5</v>
      </c>
      <c r="L18" s="127">
        <v>6998.5</v>
      </c>
      <c r="M18" s="107">
        <v>2305</v>
      </c>
      <c r="N18" s="107">
        <v>2889.5</v>
      </c>
      <c r="O18" s="107">
        <v>1879.5</v>
      </c>
      <c r="P18" s="137">
        <v>229.5</v>
      </c>
      <c r="Q18" s="142">
        <f>SUM(D18:P18)</f>
        <v>262244.40000000002</v>
      </c>
      <c r="R18" s="133"/>
      <c r="S18" s="48"/>
      <c r="T18" s="54"/>
    </row>
    <row r="19" spans="2:20" ht="16.5" customHeight="1">
      <c r="B19" s="468"/>
      <c r="C19" s="149" t="s">
        <v>74</v>
      </c>
      <c r="D19" s="128">
        <f>D15/D16-1</f>
        <v>-2.2058823529411797E-2</v>
      </c>
      <c r="E19" s="108">
        <f t="shared" ref="E19:P19" si="0">E15/E16-1</f>
        <v>0.15113742598940472</v>
      </c>
      <c r="F19" s="108">
        <f t="shared" si="0"/>
        <v>0.12982944657152795</v>
      </c>
      <c r="G19" s="108">
        <f t="shared" si="0"/>
        <v>0.36368126440566351</v>
      </c>
      <c r="H19" s="108">
        <f t="shared" si="0"/>
        <v>0.27958579881656798</v>
      </c>
      <c r="I19" s="108">
        <f t="shared" si="0"/>
        <v>0.11411411411411421</v>
      </c>
      <c r="J19" s="108">
        <f t="shared" si="0"/>
        <v>0.11965700922437317</v>
      </c>
      <c r="K19" s="121">
        <f t="shared" si="0"/>
        <v>0.36112742219612448</v>
      </c>
      <c r="L19" s="128">
        <f t="shared" si="0"/>
        <v>0.17776420281001837</v>
      </c>
      <c r="M19" s="108">
        <f t="shared" si="0"/>
        <v>8.4302325581395277E-2</v>
      </c>
      <c r="N19" s="108">
        <f t="shared" si="0"/>
        <v>0.20560747663551404</v>
      </c>
      <c r="O19" s="108">
        <f t="shared" si="0"/>
        <v>7.0615034168564961E-2</v>
      </c>
      <c r="P19" s="138">
        <f t="shared" si="0"/>
        <v>8.7719298245614086E-2</v>
      </c>
      <c r="Q19" s="143">
        <f>Q15/Q16-1</f>
        <v>0.22417307514129536</v>
      </c>
      <c r="R19" s="132"/>
      <c r="S19" s="48"/>
    </row>
    <row r="20" spans="2:20" ht="16.5" customHeight="1">
      <c r="B20" s="468"/>
      <c r="C20" s="149" t="s">
        <v>121</v>
      </c>
      <c r="D20" s="128">
        <f>D15/D17-1</f>
        <v>-4.4910179640718084E-3</v>
      </c>
      <c r="E20" s="108">
        <f t="shared" ref="E20:P20" si="1">E15/E17-1</f>
        <v>0.15829873697149099</v>
      </c>
      <c r="F20" s="108">
        <f t="shared" si="1"/>
        <v>8.6878878521362557E-2</v>
      </c>
      <c r="G20" s="108">
        <f t="shared" si="1"/>
        <v>7.0916025599586208E-2</v>
      </c>
      <c r="H20" s="108">
        <f t="shared" si="1"/>
        <v>5.162058988012741E-2</v>
      </c>
      <c r="I20" s="108">
        <f t="shared" si="1"/>
        <v>-0.13342053629823414</v>
      </c>
      <c r="J20" s="108">
        <f t="shared" si="1"/>
        <v>9.1787145846952134E-2</v>
      </c>
      <c r="K20" s="121">
        <f t="shared" si="1"/>
        <v>6.4702820222310775E-2</v>
      </c>
      <c r="L20" s="128">
        <f t="shared" si="1"/>
        <v>0.21227364185110664</v>
      </c>
      <c r="M20" s="108">
        <f t="shared" si="1"/>
        <v>-0.15034168564920269</v>
      </c>
      <c r="N20" s="108">
        <f t="shared" si="1"/>
        <v>-6.0040804430195327E-2</v>
      </c>
      <c r="O20" s="108">
        <f t="shared" si="1"/>
        <v>0.14188532555879485</v>
      </c>
      <c r="P20" s="138">
        <f t="shared" si="1"/>
        <v>0.13970588235294112</v>
      </c>
      <c r="Q20" s="143">
        <f>Q15/Q17-1</f>
        <v>7.7218090904569658E-2</v>
      </c>
      <c r="R20" s="132"/>
      <c r="S20" s="48"/>
    </row>
    <row r="21" spans="2:20" ht="16.5" customHeight="1" thickBot="1">
      <c r="B21" s="469"/>
      <c r="C21" s="150" t="s">
        <v>122</v>
      </c>
      <c r="D21" s="129">
        <f>D15/D18-1</f>
        <v>-9.2955056946054659E-2</v>
      </c>
      <c r="E21" s="109">
        <f t="shared" ref="E21:Q21" si="2">E15/E18-1</f>
        <v>0.17237089321078569</v>
      </c>
      <c r="F21" s="109">
        <f t="shared" si="2"/>
        <v>6.3983217516716984E-2</v>
      </c>
      <c r="G21" s="109">
        <f t="shared" si="2"/>
        <v>-4.6780597272570335E-2</v>
      </c>
      <c r="H21" s="109">
        <f t="shared" si="2"/>
        <v>-6.1333449084121971E-2</v>
      </c>
      <c r="I21" s="109">
        <f t="shared" si="2"/>
        <v>-0.26236678861142049</v>
      </c>
      <c r="J21" s="109">
        <f t="shared" si="2"/>
        <v>6.8933695846315812E-2</v>
      </c>
      <c r="K21" s="122">
        <f t="shared" si="2"/>
        <v>-7.6334559751351505E-2</v>
      </c>
      <c r="L21" s="129">
        <f t="shared" si="2"/>
        <v>0.37743802243337865</v>
      </c>
      <c r="M21" s="109">
        <f t="shared" si="2"/>
        <v>-0.19088937093275493</v>
      </c>
      <c r="N21" s="109">
        <f t="shared" si="2"/>
        <v>0.1161100536424986</v>
      </c>
      <c r="O21" s="109">
        <f t="shared" si="2"/>
        <v>0.25033253524873644</v>
      </c>
      <c r="P21" s="139">
        <f t="shared" si="2"/>
        <v>0.35076252723311541</v>
      </c>
      <c r="Q21" s="144">
        <f t="shared" si="2"/>
        <v>7.6478277515172888E-3</v>
      </c>
      <c r="R21" s="133"/>
      <c r="S21" s="48"/>
    </row>
    <row r="22" spans="2:20" ht="15.65" customHeight="1">
      <c r="B22" s="470" t="s">
        <v>106</v>
      </c>
      <c r="C22" s="185" t="s">
        <v>108</v>
      </c>
      <c r="D22" s="186">
        <v>1100</v>
      </c>
      <c r="E22" s="187">
        <v>380</v>
      </c>
      <c r="F22" s="187">
        <v>22180</v>
      </c>
      <c r="G22" s="187">
        <v>7990</v>
      </c>
      <c r="H22" s="187">
        <v>160</v>
      </c>
      <c r="I22" s="187">
        <v>0</v>
      </c>
      <c r="J22" s="187">
        <v>4870</v>
      </c>
      <c r="K22" s="188">
        <v>1050</v>
      </c>
      <c r="L22" s="189">
        <v>16010</v>
      </c>
      <c r="M22" s="190">
        <v>7160</v>
      </c>
      <c r="N22" s="190">
        <v>4745</v>
      </c>
      <c r="O22" s="190">
        <v>60</v>
      </c>
      <c r="P22" s="191">
        <v>185</v>
      </c>
      <c r="Q22" s="192">
        <f>SUM(D22:P22)</f>
        <v>65890</v>
      </c>
      <c r="R22" s="132"/>
      <c r="S22" s="48"/>
      <c r="T22" s="54"/>
    </row>
    <row r="23" spans="2:20" ht="15.65" customHeight="1">
      <c r="B23" s="468"/>
      <c r="C23" s="147" t="s">
        <v>97</v>
      </c>
      <c r="D23" s="152">
        <v>1390</v>
      </c>
      <c r="E23" s="106">
        <v>305</v>
      </c>
      <c r="F23" s="106">
        <v>25635</v>
      </c>
      <c r="G23" s="106">
        <v>9945</v>
      </c>
      <c r="H23" s="106">
        <v>160</v>
      </c>
      <c r="I23" s="106">
        <v>10</v>
      </c>
      <c r="J23" s="106">
        <v>6665</v>
      </c>
      <c r="K23" s="120">
        <v>1605</v>
      </c>
      <c r="L23" s="127">
        <v>16940</v>
      </c>
      <c r="M23" s="107">
        <v>8555</v>
      </c>
      <c r="N23" s="107">
        <v>4730</v>
      </c>
      <c r="O23" s="107">
        <v>35</v>
      </c>
      <c r="P23" s="137">
        <v>230</v>
      </c>
      <c r="Q23" s="142">
        <f t="shared" ref="Q23:Q25" si="3">SUM(D23:P23)</f>
        <v>76205</v>
      </c>
      <c r="R23" s="133"/>
      <c r="S23" s="48"/>
      <c r="T23" s="54"/>
    </row>
    <row r="24" spans="2:20" ht="17.149999999999999" customHeight="1">
      <c r="B24" s="468"/>
      <c r="C24" s="148" t="s">
        <v>94</v>
      </c>
      <c r="D24" s="152">
        <v>1588</v>
      </c>
      <c r="E24" s="106">
        <v>454</v>
      </c>
      <c r="F24" s="106">
        <v>29482</v>
      </c>
      <c r="G24" s="106">
        <v>10612</v>
      </c>
      <c r="H24" s="106">
        <v>130</v>
      </c>
      <c r="I24" s="106">
        <v>24</v>
      </c>
      <c r="J24" s="106">
        <v>7541.4</v>
      </c>
      <c r="K24" s="120">
        <v>1585</v>
      </c>
      <c r="L24" s="127">
        <v>20016</v>
      </c>
      <c r="M24" s="107">
        <v>8424</v>
      </c>
      <c r="N24" s="107">
        <v>5480</v>
      </c>
      <c r="O24" s="107">
        <v>50</v>
      </c>
      <c r="P24" s="137">
        <v>267</v>
      </c>
      <c r="Q24" s="142">
        <f t="shared" si="3"/>
        <v>85653.4</v>
      </c>
      <c r="R24" s="134"/>
      <c r="S24" s="48"/>
    </row>
    <row r="25" spans="2:20" ht="17.149999999999999" customHeight="1">
      <c r="B25" s="468"/>
      <c r="C25" s="148" t="s">
        <v>95</v>
      </c>
      <c r="D25" s="152">
        <v>2198</v>
      </c>
      <c r="E25" s="106">
        <v>447</v>
      </c>
      <c r="F25" s="106">
        <v>36538.5</v>
      </c>
      <c r="G25" s="106">
        <v>12964</v>
      </c>
      <c r="H25" s="106">
        <v>214</v>
      </c>
      <c r="I25" s="106">
        <v>28.5</v>
      </c>
      <c r="J25" s="106">
        <v>9574.7000000000007</v>
      </c>
      <c r="K25" s="120">
        <v>2213.5</v>
      </c>
      <c r="L25" s="127">
        <v>24874</v>
      </c>
      <c r="M25" s="107">
        <v>10416</v>
      </c>
      <c r="N25" s="107">
        <v>7661</v>
      </c>
      <c r="O25" s="107">
        <v>62</v>
      </c>
      <c r="P25" s="137">
        <v>393</v>
      </c>
      <c r="Q25" s="142">
        <f t="shared" si="3"/>
        <v>107584.2</v>
      </c>
      <c r="R25" s="134"/>
      <c r="S25" s="48"/>
    </row>
    <row r="26" spans="2:20" ht="17.149999999999999" customHeight="1">
      <c r="B26" s="468"/>
      <c r="C26" s="149" t="s">
        <v>74</v>
      </c>
      <c r="D26" s="128">
        <f>D22/D23-1</f>
        <v>-0.20863309352517989</v>
      </c>
      <c r="E26" s="108">
        <f t="shared" ref="E26:P26" si="4">E22/E23-1</f>
        <v>0.24590163934426235</v>
      </c>
      <c r="F26" s="108">
        <f t="shared" si="4"/>
        <v>-0.13477667251804171</v>
      </c>
      <c r="G26" s="108">
        <f t="shared" si="4"/>
        <v>-0.19658119658119655</v>
      </c>
      <c r="H26" s="108">
        <f t="shared" si="4"/>
        <v>0</v>
      </c>
      <c r="I26" s="108">
        <f t="shared" si="4"/>
        <v>-1</v>
      </c>
      <c r="J26" s="108">
        <f t="shared" si="4"/>
        <v>-0.2693173293323331</v>
      </c>
      <c r="K26" s="121">
        <f t="shared" si="4"/>
        <v>-0.34579439252336452</v>
      </c>
      <c r="L26" s="128">
        <f t="shared" si="4"/>
        <v>-5.4899645808736741E-2</v>
      </c>
      <c r="M26" s="108">
        <f t="shared" si="4"/>
        <v>-0.16306253652834601</v>
      </c>
      <c r="N26" s="108">
        <f t="shared" si="4"/>
        <v>3.1712473572937938E-3</v>
      </c>
      <c r="O26" s="108">
        <f t="shared" si="4"/>
        <v>0.71428571428571419</v>
      </c>
      <c r="P26" s="138">
        <f t="shared" si="4"/>
        <v>-0.19565217391304346</v>
      </c>
      <c r="Q26" s="143">
        <f>Q22/Q23-1</f>
        <v>-0.13535857227216064</v>
      </c>
      <c r="R26" s="134"/>
      <c r="S26" s="48"/>
    </row>
    <row r="27" spans="2:20" ht="17.149999999999999" customHeight="1">
      <c r="B27" s="468"/>
      <c r="C27" s="149" t="s">
        <v>121</v>
      </c>
      <c r="D27" s="128">
        <f>D22/D24-1</f>
        <v>-0.30730478589420651</v>
      </c>
      <c r="E27" s="108">
        <f t="shared" ref="E27:P27" si="5">E22/E24-1</f>
        <v>-0.16299559471365643</v>
      </c>
      <c r="F27" s="108">
        <f t="shared" si="5"/>
        <v>-0.24767654840241504</v>
      </c>
      <c r="G27" s="108">
        <f t="shared" si="5"/>
        <v>-0.24707877874104789</v>
      </c>
      <c r="H27" s="108">
        <f t="shared" si="5"/>
        <v>0.23076923076923084</v>
      </c>
      <c r="I27" s="108">
        <f t="shared" si="5"/>
        <v>-1</v>
      </c>
      <c r="J27" s="108">
        <f t="shared" si="5"/>
        <v>-0.35423130983636986</v>
      </c>
      <c r="K27" s="121">
        <f t="shared" si="5"/>
        <v>-0.33753943217665616</v>
      </c>
      <c r="L27" s="128">
        <f t="shared" si="5"/>
        <v>-0.20013988808952843</v>
      </c>
      <c r="M27" s="108">
        <f t="shared" si="5"/>
        <v>-0.15004748338081675</v>
      </c>
      <c r="N27" s="108">
        <f t="shared" si="5"/>
        <v>-0.13412408759124084</v>
      </c>
      <c r="O27" s="108">
        <f t="shared" si="5"/>
        <v>0.19999999999999996</v>
      </c>
      <c r="P27" s="138">
        <f t="shared" si="5"/>
        <v>-0.30711610486891383</v>
      </c>
      <c r="Q27" s="143">
        <f>Q22/Q24-1</f>
        <v>-0.23073690011137904</v>
      </c>
      <c r="R27" s="134"/>
      <c r="S27" s="48"/>
    </row>
    <row r="28" spans="2:20" ht="13.5" customHeight="1" thickBot="1">
      <c r="B28" s="469"/>
      <c r="C28" s="150" t="s">
        <v>122</v>
      </c>
      <c r="D28" s="129">
        <f>D22/D25-1</f>
        <v>-0.4995450409463148</v>
      </c>
      <c r="E28" s="109">
        <f t="shared" ref="E28:Q28" si="6">E22/E25-1</f>
        <v>-0.14988814317673382</v>
      </c>
      <c r="F28" s="109">
        <f t="shared" si="6"/>
        <v>-0.39296906003256837</v>
      </c>
      <c r="G28" s="109">
        <f t="shared" si="6"/>
        <v>-0.38367787719839552</v>
      </c>
      <c r="H28" s="109">
        <f t="shared" si="6"/>
        <v>-0.25233644859813087</v>
      </c>
      <c r="I28" s="109">
        <f t="shared" si="6"/>
        <v>-1</v>
      </c>
      <c r="J28" s="109">
        <f t="shared" si="6"/>
        <v>-0.49136787575589835</v>
      </c>
      <c r="K28" s="122">
        <f t="shared" si="6"/>
        <v>-0.52563812965891121</v>
      </c>
      <c r="L28" s="129">
        <f t="shared" si="6"/>
        <v>-0.35635603441344377</v>
      </c>
      <c r="M28" s="109">
        <f t="shared" si="6"/>
        <v>-0.3125960061443932</v>
      </c>
      <c r="N28" s="109">
        <f t="shared" si="6"/>
        <v>-0.38062916068398378</v>
      </c>
      <c r="O28" s="109">
        <f t="shared" si="6"/>
        <v>-3.2258064516129004E-2</v>
      </c>
      <c r="P28" s="139">
        <f t="shared" si="6"/>
        <v>-0.52926208651399498</v>
      </c>
      <c r="Q28" s="144">
        <f t="shared" si="6"/>
        <v>-0.38754947287798769</v>
      </c>
      <c r="R28" s="125"/>
      <c r="S28" s="48"/>
    </row>
    <row r="29" spans="2:20" ht="15" customHeight="1">
      <c r="B29" s="470" t="s">
        <v>58</v>
      </c>
      <c r="C29" s="185" t="s">
        <v>108</v>
      </c>
      <c r="D29" s="186">
        <v>1220</v>
      </c>
      <c r="E29" s="187">
        <v>22310</v>
      </c>
      <c r="F29" s="187">
        <v>7880</v>
      </c>
      <c r="G29" s="187">
        <v>9940</v>
      </c>
      <c r="H29" s="187">
        <v>6300</v>
      </c>
      <c r="I29" s="187">
        <v>1120</v>
      </c>
      <c r="J29" s="187">
        <v>17200</v>
      </c>
      <c r="K29" s="188">
        <v>6680</v>
      </c>
      <c r="L29" s="189">
        <v>3850</v>
      </c>
      <c r="M29" s="190">
        <v>1760</v>
      </c>
      <c r="N29" s="190">
        <v>1960</v>
      </c>
      <c r="O29" s="190">
        <v>2400</v>
      </c>
      <c r="P29" s="191">
        <v>100</v>
      </c>
      <c r="Q29" s="192">
        <f>SUM(D29:P29)</f>
        <v>82720</v>
      </c>
      <c r="R29" s="135"/>
      <c r="S29" s="48"/>
      <c r="T29" s="54"/>
    </row>
    <row r="30" spans="2:20" ht="15" customHeight="1">
      <c r="B30" s="468"/>
      <c r="C30" s="147" t="s">
        <v>97</v>
      </c>
      <c r="D30" s="152">
        <v>1720</v>
      </c>
      <c r="E30" s="106">
        <v>20720</v>
      </c>
      <c r="F30" s="106">
        <v>11140</v>
      </c>
      <c r="G30" s="106">
        <v>9740</v>
      </c>
      <c r="H30" s="106">
        <v>5005</v>
      </c>
      <c r="I30" s="106">
        <v>1225</v>
      </c>
      <c r="J30" s="106">
        <v>18090</v>
      </c>
      <c r="K30" s="120">
        <v>6105</v>
      </c>
      <c r="L30" s="127">
        <v>4830</v>
      </c>
      <c r="M30" s="107">
        <v>1900</v>
      </c>
      <c r="N30" s="107">
        <v>1490</v>
      </c>
      <c r="O30" s="107">
        <v>2200</v>
      </c>
      <c r="P30" s="137">
        <v>90</v>
      </c>
      <c r="Q30" s="142">
        <f>SUM(D30:P30)</f>
        <v>84255</v>
      </c>
      <c r="R30" s="135"/>
      <c r="S30" s="48"/>
      <c r="T30" s="54"/>
    </row>
    <row r="31" spans="2:20" ht="15" customHeight="1">
      <c r="B31" s="468"/>
      <c r="C31" s="148" t="s">
        <v>94</v>
      </c>
      <c r="D31" s="152">
        <v>1774</v>
      </c>
      <c r="E31" s="106">
        <v>22027</v>
      </c>
      <c r="F31" s="106">
        <v>11502</v>
      </c>
      <c r="G31" s="106">
        <v>12634</v>
      </c>
      <c r="H31" s="106">
        <v>6187</v>
      </c>
      <c r="I31" s="106">
        <v>1268</v>
      </c>
      <c r="J31" s="106">
        <v>19374</v>
      </c>
      <c r="K31" s="120">
        <v>7421</v>
      </c>
      <c r="L31" s="127">
        <v>4937</v>
      </c>
      <c r="M31" s="107">
        <v>2038</v>
      </c>
      <c r="N31" s="107">
        <v>1531</v>
      </c>
      <c r="O31" s="107">
        <v>2160</v>
      </c>
      <c r="P31" s="137">
        <v>102</v>
      </c>
      <c r="Q31" s="142">
        <f>SUM(D31:P31)</f>
        <v>92955</v>
      </c>
      <c r="R31" s="135"/>
      <c r="S31" s="48"/>
      <c r="T31" s="54"/>
    </row>
    <row r="32" spans="2:20" ht="15" customHeight="1">
      <c r="B32" s="468"/>
      <c r="C32" s="148" t="s">
        <v>95</v>
      </c>
      <c r="D32" s="152">
        <v>1928</v>
      </c>
      <c r="E32" s="106">
        <v>22527.5</v>
      </c>
      <c r="F32" s="106">
        <v>11300.5</v>
      </c>
      <c r="G32" s="106">
        <v>13865</v>
      </c>
      <c r="H32" s="106">
        <v>6979</v>
      </c>
      <c r="I32" s="106">
        <v>1211.5</v>
      </c>
      <c r="J32" s="106">
        <v>19810</v>
      </c>
      <c r="K32" s="120">
        <v>8167.5</v>
      </c>
      <c r="L32" s="127">
        <v>4907</v>
      </c>
      <c r="M32" s="107">
        <v>2164.5</v>
      </c>
      <c r="N32" s="107">
        <v>1400.5</v>
      </c>
      <c r="O32" s="107">
        <v>2164</v>
      </c>
      <c r="P32" s="137">
        <v>94</v>
      </c>
      <c r="Q32" s="142">
        <f>SUM(D32:P32)</f>
        <v>96519</v>
      </c>
      <c r="R32" s="135"/>
      <c r="S32" s="48"/>
      <c r="T32" s="54"/>
    </row>
    <row r="33" spans="2:20" ht="15" customHeight="1">
      <c r="B33" s="468"/>
      <c r="C33" s="149" t="s">
        <v>74</v>
      </c>
      <c r="D33" s="128">
        <f>D29/D30-1</f>
        <v>-0.29069767441860461</v>
      </c>
      <c r="E33" s="108">
        <f t="shared" ref="E33:P33" si="7">E29/E30-1</f>
        <v>7.6737451737451723E-2</v>
      </c>
      <c r="F33" s="108">
        <f t="shared" si="7"/>
        <v>-0.29263913824057453</v>
      </c>
      <c r="G33" s="108">
        <f t="shared" si="7"/>
        <v>2.0533880903490731E-2</v>
      </c>
      <c r="H33" s="108">
        <f t="shared" si="7"/>
        <v>0.25874125874125875</v>
      </c>
      <c r="I33" s="108">
        <f t="shared" si="7"/>
        <v>-8.5714285714285743E-2</v>
      </c>
      <c r="J33" s="108">
        <f t="shared" si="7"/>
        <v>-4.9198452183526808E-2</v>
      </c>
      <c r="K33" s="121">
        <f t="shared" si="7"/>
        <v>9.4185094185094131E-2</v>
      </c>
      <c r="L33" s="128">
        <f t="shared" si="7"/>
        <v>-0.20289855072463769</v>
      </c>
      <c r="M33" s="108">
        <f t="shared" si="7"/>
        <v>-7.3684210526315796E-2</v>
      </c>
      <c r="N33" s="108">
        <f t="shared" si="7"/>
        <v>0.31543624161073835</v>
      </c>
      <c r="O33" s="108">
        <f t="shared" si="7"/>
        <v>9.0909090909090828E-2</v>
      </c>
      <c r="P33" s="138">
        <f t="shared" si="7"/>
        <v>0.11111111111111116</v>
      </c>
      <c r="Q33" s="143">
        <f>Q29/Q30-1</f>
        <v>-1.8218503352916748E-2</v>
      </c>
      <c r="R33" s="125"/>
      <c r="S33" s="48"/>
      <c r="T33" s="54"/>
    </row>
    <row r="34" spans="2:20" ht="15" customHeight="1">
      <c r="B34" s="468"/>
      <c r="C34" s="149" t="s">
        <v>121</v>
      </c>
      <c r="D34" s="128">
        <f>D29/D31-1</f>
        <v>-0.3122886133032694</v>
      </c>
      <c r="E34" s="108">
        <f t="shared" ref="E34:P34" si="8">E29/E31-1</f>
        <v>1.2847868524991979E-2</v>
      </c>
      <c r="F34" s="108">
        <f t="shared" si="8"/>
        <v>-0.31490175621631022</v>
      </c>
      <c r="G34" s="108">
        <f t="shared" si="8"/>
        <v>-0.21323413012505932</v>
      </c>
      <c r="H34" s="108">
        <f t="shared" si="8"/>
        <v>1.826410214966856E-2</v>
      </c>
      <c r="I34" s="108">
        <f t="shared" si="8"/>
        <v>-0.11671924290220825</v>
      </c>
      <c r="J34" s="108">
        <f t="shared" si="8"/>
        <v>-0.11221224321255285</v>
      </c>
      <c r="K34" s="121">
        <f t="shared" si="8"/>
        <v>-9.9851771998383021E-2</v>
      </c>
      <c r="L34" s="128">
        <f t="shared" si="8"/>
        <v>-0.2201741948551752</v>
      </c>
      <c r="M34" s="108">
        <f t="shared" si="8"/>
        <v>-0.13640824337585866</v>
      </c>
      <c r="N34" s="108">
        <f t="shared" si="8"/>
        <v>0.28020901371652518</v>
      </c>
      <c r="O34" s="108">
        <f t="shared" si="8"/>
        <v>0.11111111111111116</v>
      </c>
      <c r="P34" s="138">
        <f t="shared" si="8"/>
        <v>-1.9607843137254943E-2</v>
      </c>
      <c r="Q34" s="143">
        <f>Q29/Q31-1</f>
        <v>-0.11010704104136415</v>
      </c>
      <c r="R34" s="59"/>
      <c r="S34" s="446"/>
    </row>
    <row r="35" spans="2:20" ht="15" customHeight="1" thickBot="1">
      <c r="B35" s="469"/>
      <c r="C35" s="150" t="s">
        <v>122</v>
      </c>
      <c r="D35" s="129">
        <f>D29/D32-1</f>
        <v>-0.36721991701244816</v>
      </c>
      <c r="E35" s="109">
        <f t="shared" ref="E35:Q35" si="9">E29/E32-1</f>
        <v>-9.6548662745533642E-3</v>
      </c>
      <c r="F35" s="109">
        <f t="shared" si="9"/>
        <v>-0.30268572187071363</v>
      </c>
      <c r="G35" s="109">
        <f t="shared" si="9"/>
        <v>-0.28308690948431303</v>
      </c>
      <c r="H35" s="109">
        <f t="shared" si="9"/>
        <v>-9.7291875626880686E-2</v>
      </c>
      <c r="I35" s="109">
        <f t="shared" si="9"/>
        <v>-7.5526207181180305E-2</v>
      </c>
      <c r="J35" s="109">
        <f t="shared" si="9"/>
        <v>-0.13175164058556288</v>
      </c>
      <c r="K35" s="122">
        <f t="shared" si="9"/>
        <v>-0.18212427303336398</v>
      </c>
      <c r="L35" s="129">
        <f t="shared" si="9"/>
        <v>-0.21540656205420827</v>
      </c>
      <c r="M35" s="109">
        <f t="shared" si="9"/>
        <v>-0.18687918687918692</v>
      </c>
      <c r="N35" s="109">
        <f t="shared" si="9"/>
        <v>0.39950017850767594</v>
      </c>
      <c r="O35" s="109">
        <f t="shared" si="9"/>
        <v>0.10905730129390023</v>
      </c>
      <c r="P35" s="139">
        <f t="shared" si="9"/>
        <v>6.3829787234042534E-2</v>
      </c>
      <c r="Q35" s="144">
        <f t="shared" si="9"/>
        <v>-0.14296666977486294</v>
      </c>
      <c r="R35" s="134"/>
      <c r="S35" s="446"/>
    </row>
    <row r="36" spans="2:20" ht="18.649999999999999" customHeight="1">
      <c r="B36" s="470" t="s">
        <v>59</v>
      </c>
      <c r="C36" s="185" t="s">
        <v>108</v>
      </c>
      <c r="D36" s="186">
        <v>310</v>
      </c>
      <c r="E36" s="187">
        <v>850</v>
      </c>
      <c r="F36" s="187">
        <v>2950</v>
      </c>
      <c r="G36" s="187">
        <v>2630</v>
      </c>
      <c r="H36" s="187">
        <v>610</v>
      </c>
      <c r="I36" s="187">
        <v>120</v>
      </c>
      <c r="J36" s="187">
        <v>1110</v>
      </c>
      <c r="K36" s="188">
        <v>860</v>
      </c>
      <c r="L36" s="189">
        <v>800</v>
      </c>
      <c r="M36" s="190">
        <v>280</v>
      </c>
      <c r="N36" s="190">
        <v>200</v>
      </c>
      <c r="O36" s="190">
        <v>765</v>
      </c>
      <c r="P36" s="191">
        <v>55</v>
      </c>
      <c r="Q36" s="192">
        <f>SUM(D36:P36)</f>
        <v>11540</v>
      </c>
      <c r="R36" s="125"/>
      <c r="S36" s="48"/>
      <c r="T36" s="54"/>
    </row>
    <row r="37" spans="2:20" ht="14">
      <c r="B37" s="468"/>
      <c r="C37" s="147" t="s">
        <v>97</v>
      </c>
      <c r="D37" s="152">
        <v>260</v>
      </c>
      <c r="E37" s="106">
        <v>1310</v>
      </c>
      <c r="F37" s="106">
        <v>2705</v>
      </c>
      <c r="G37" s="106">
        <v>4620</v>
      </c>
      <c r="H37" s="106">
        <v>1460</v>
      </c>
      <c r="I37" s="106">
        <v>175</v>
      </c>
      <c r="J37" s="106">
        <v>1780</v>
      </c>
      <c r="K37" s="120">
        <v>1495</v>
      </c>
      <c r="L37" s="127">
        <v>955</v>
      </c>
      <c r="M37" s="107">
        <v>470</v>
      </c>
      <c r="N37" s="107">
        <v>185</v>
      </c>
      <c r="O37" s="107">
        <v>760</v>
      </c>
      <c r="P37" s="137">
        <v>25</v>
      </c>
      <c r="Q37" s="142">
        <f>SUM(D37:P37)</f>
        <v>16200</v>
      </c>
      <c r="R37" s="134"/>
      <c r="S37" s="48"/>
      <c r="T37" s="54"/>
    </row>
    <row r="38" spans="2:20" ht="14">
      <c r="B38" s="468"/>
      <c r="C38" s="148" t="s">
        <v>94</v>
      </c>
      <c r="D38" s="152">
        <v>248</v>
      </c>
      <c r="E38" s="106">
        <v>1178</v>
      </c>
      <c r="F38" s="106">
        <v>2182</v>
      </c>
      <c r="G38" s="106">
        <v>3046</v>
      </c>
      <c r="H38" s="106">
        <v>833</v>
      </c>
      <c r="I38" s="106">
        <v>115</v>
      </c>
      <c r="J38" s="106">
        <v>1344</v>
      </c>
      <c r="K38" s="120">
        <v>1164</v>
      </c>
      <c r="L38" s="127">
        <v>906</v>
      </c>
      <c r="M38" s="107">
        <v>614</v>
      </c>
      <c r="N38" s="107">
        <v>262</v>
      </c>
      <c r="O38" s="107">
        <v>727</v>
      </c>
      <c r="P38" s="137">
        <v>24</v>
      </c>
      <c r="Q38" s="142">
        <f>SUM(D38:P38)</f>
        <v>12643</v>
      </c>
      <c r="R38" s="134"/>
      <c r="S38" s="48"/>
      <c r="T38" s="54"/>
    </row>
    <row r="39" spans="2:20" ht="14">
      <c r="B39" s="468"/>
      <c r="C39" s="148" t="s">
        <v>95</v>
      </c>
      <c r="D39" s="152">
        <v>180.5</v>
      </c>
      <c r="E39" s="106">
        <v>1219</v>
      </c>
      <c r="F39" s="106">
        <v>1500.5</v>
      </c>
      <c r="G39" s="106">
        <v>2263</v>
      </c>
      <c r="H39" s="106">
        <v>686</v>
      </c>
      <c r="I39" s="106">
        <v>73.5</v>
      </c>
      <c r="J39" s="106">
        <v>993.5</v>
      </c>
      <c r="K39" s="120">
        <v>770.5</v>
      </c>
      <c r="L39" s="127">
        <v>607.5</v>
      </c>
      <c r="M39" s="107">
        <v>560.5</v>
      </c>
      <c r="N39" s="107">
        <v>231.5</v>
      </c>
      <c r="O39" s="107">
        <v>813.5</v>
      </c>
      <c r="P39" s="137">
        <v>25</v>
      </c>
      <c r="Q39" s="142">
        <f>SUM(D39:P39)</f>
        <v>9924.5</v>
      </c>
      <c r="R39" s="134"/>
      <c r="S39" s="48"/>
      <c r="T39" s="54"/>
    </row>
    <row r="40" spans="2:20" ht="14">
      <c r="B40" s="468"/>
      <c r="C40" s="149" t="s">
        <v>74</v>
      </c>
      <c r="D40" s="128">
        <f>D36/D37-1</f>
        <v>0.19230769230769229</v>
      </c>
      <c r="E40" s="108">
        <f t="shared" ref="E40:P40" si="10">E36/E37-1</f>
        <v>-0.35114503816793896</v>
      </c>
      <c r="F40" s="108">
        <f t="shared" si="10"/>
        <v>9.0573012939001885E-2</v>
      </c>
      <c r="G40" s="108">
        <f t="shared" si="10"/>
        <v>-0.43073593073593075</v>
      </c>
      <c r="H40" s="108">
        <f t="shared" si="10"/>
        <v>-0.5821917808219178</v>
      </c>
      <c r="I40" s="108">
        <f t="shared" si="10"/>
        <v>-0.31428571428571428</v>
      </c>
      <c r="J40" s="108">
        <f t="shared" si="10"/>
        <v>-0.3764044943820225</v>
      </c>
      <c r="K40" s="121">
        <f t="shared" si="10"/>
        <v>-0.42474916387959871</v>
      </c>
      <c r="L40" s="128">
        <f t="shared" si="10"/>
        <v>-0.16230366492146597</v>
      </c>
      <c r="M40" s="108">
        <f t="shared" si="10"/>
        <v>-0.4042553191489362</v>
      </c>
      <c r="N40" s="108">
        <f t="shared" si="10"/>
        <v>8.1081081081081141E-2</v>
      </c>
      <c r="O40" s="108">
        <f t="shared" si="10"/>
        <v>6.5789473684210176E-3</v>
      </c>
      <c r="P40" s="138">
        <f t="shared" si="10"/>
        <v>1.2000000000000002</v>
      </c>
      <c r="Q40" s="143">
        <f>Q36/Q37-1</f>
        <v>-0.28765432098765431</v>
      </c>
      <c r="R40" s="134"/>
      <c r="S40" s="48"/>
      <c r="T40" s="54"/>
    </row>
    <row r="41" spans="2:20" ht="22" customHeight="1">
      <c r="B41" s="468"/>
      <c r="C41" s="149" t="s">
        <v>121</v>
      </c>
      <c r="D41" s="128">
        <f>D36/D38-1</f>
        <v>0.25</v>
      </c>
      <c r="E41" s="108">
        <f t="shared" ref="E41:P41" si="11">E36/E38-1</f>
        <v>-0.27843803056027161</v>
      </c>
      <c r="F41" s="108">
        <f t="shared" si="11"/>
        <v>0.35197066911090746</v>
      </c>
      <c r="G41" s="108">
        <f t="shared" si="11"/>
        <v>-0.1365725541694025</v>
      </c>
      <c r="H41" s="108">
        <f t="shared" si="11"/>
        <v>-0.26770708283313327</v>
      </c>
      <c r="I41" s="108">
        <f t="shared" si="11"/>
        <v>4.3478260869565188E-2</v>
      </c>
      <c r="J41" s="108">
        <f t="shared" si="11"/>
        <v>-0.1741071428571429</v>
      </c>
      <c r="K41" s="121">
        <f t="shared" si="11"/>
        <v>-0.26116838487972505</v>
      </c>
      <c r="L41" s="128">
        <f t="shared" si="11"/>
        <v>-0.11699779249448128</v>
      </c>
      <c r="M41" s="108">
        <f t="shared" si="11"/>
        <v>-0.5439739413680782</v>
      </c>
      <c r="N41" s="108">
        <f t="shared" si="11"/>
        <v>-0.23664122137404575</v>
      </c>
      <c r="O41" s="108">
        <f t="shared" si="11"/>
        <v>5.2269601100412677E-2</v>
      </c>
      <c r="P41" s="138">
        <f t="shared" si="11"/>
        <v>1.2916666666666665</v>
      </c>
      <c r="Q41" s="143">
        <f>Q36/Q38-1</f>
        <v>-8.724195206833818E-2</v>
      </c>
      <c r="R41" s="125"/>
      <c r="S41" s="48"/>
    </row>
    <row r="42" spans="2:20" ht="17.5" customHeight="1" thickBot="1">
      <c r="B42" s="469"/>
      <c r="C42" s="150" t="s">
        <v>122</v>
      </c>
      <c r="D42" s="129">
        <f>D36/D39-1</f>
        <v>0.7174515235457064</v>
      </c>
      <c r="E42" s="109">
        <f t="shared" ref="E42:Q42" si="12">E36/E39-1</f>
        <v>-0.30270713699753893</v>
      </c>
      <c r="F42" s="109">
        <f t="shared" si="12"/>
        <v>0.96601132955681446</v>
      </c>
      <c r="G42" s="109">
        <f t="shared" si="12"/>
        <v>0.1621741051701282</v>
      </c>
      <c r="H42" s="109">
        <f t="shared" si="12"/>
        <v>-0.11078717201166177</v>
      </c>
      <c r="I42" s="109">
        <f t="shared" si="12"/>
        <v>0.63265306122448983</v>
      </c>
      <c r="J42" s="109">
        <f t="shared" si="12"/>
        <v>0.11726220432813284</v>
      </c>
      <c r="K42" s="122">
        <f t="shared" si="12"/>
        <v>0.11615833874107717</v>
      </c>
      <c r="L42" s="129">
        <f t="shared" si="12"/>
        <v>0.3168724279835391</v>
      </c>
      <c r="M42" s="109">
        <f t="shared" si="12"/>
        <v>-0.50044603033006241</v>
      </c>
      <c r="N42" s="109">
        <f t="shared" si="12"/>
        <v>-0.13606911447084236</v>
      </c>
      <c r="O42" s="109">
        <f t="shared" si="12"/>
        <v>-5.9618930547019056E-2</v>
      </c>
      <c r="P42" s="139">
        <f t="shared" si="12"/>
        <v>1.2000000000000002</v>
      </c>
      <c r="Q42" s="144">
        <f t="shared" si="12"/>
        <v>0.16277898130888202</v>
      </c>
      <c r="R42" s="135"/>
      <c r="S42" s="48"/>
    </row>
    <row r="43" spans="2:20" ht="17.149999999999999" customHeight="1">
      <c r="B43" s="464" t="s">
        <v>61</v>
      </c>
      <c r="C43" s="185" t="s">
        <v>108</v>
      </c>
      <c r="D43" s="186">
        <v>3565</v>
      </c>
      <c r="E43" s="187">
        <v>517</v>
      </c>
      <c r="F43" s="187">
        <v>15400</v>
      </c>
      <c r="G43" s="187">
        <v>32407</v>
      </c>
      <c r="H43" s="187">
        <v>1350</v>
      </c>
      <c r="I43" s="187">
        <v>16000</v>
      </c>
      <c r="J43" s="187">
        <v>6050</v>
      </c>
      <c r="K43" s="188">
        <v>13990</v>
      </c>
      <c r="L43" s="189">
        <v>675</v>
      </c>
      <c r="M43" s="190">
        <v>270</v>
      </c>
      <c r="N43" s="190">
        <v>35</v>
      </c>
      <c r="O43" s="190">
        <v>5</v>
      </c>
      <c r="P43" s="191">
        <v>2</v>
      </c>
      <c r="Q43" s="192">
        <f>SUM(D43:P43)</f>
        <v>90266</v>
      </c>
      <c r="R43" s="59"/>
      <c r="S43" s="48"/>
      <c r="T43" s="54"/>
    </row>
    <row r="44" spans="2:20" ht="17.149999999999999" customHeight="1">
      <c r="B44" s="465"/>
      <c r="C44" s="147" t="s">
        <v>97</v>
      </c>
      <c r="D44" s="152">
        <v>2146</v>
      </c>
      <c r="E44" s="106">
        <v>550</v>
      </c>
      <c r="F44" s="106">
        <v>12674</v>
      </c>
      <c r="G44" s="106">
        <v>32210</v>
      </c>
      <c r="H44" s="106">
        <v>1445</v>
      </c>
      <c r="I44" s="106">
        <v>15564</v>
      </c>
      <c r="J44" s="106">
        <v>5233</v>
      </c>
      <c r="K44" s="120">
        <v>12152</v>
      </c>
      <c r="L44" s="127">
        <v>225</v>
      </c>
      <c r="M44" s="107">
        <v>235</v>
      </c>
      <c r="N44" s="107">
        <v>55</v>
      </c>
      <c r="O44" s="107">
        <v>0</v>
      </c>
      <c r="P44" s="137">
        <v>20</v>
      </c>
      <c r="Q44" s="142">
        <f>SUM(D44:P44)</f>
        <v>82509</v>
      </c>
      <c r="R44" s="59"/>
      <c r="S44" s="48"/>
      <c r="T44" s="54"/>
    </row>
    <row r="45" spans="2:20" ht="17.149999999999999" customHeight="1">
      <c r="B45" s="465"/>
      <c r="C45" s="148" t="s">
        <v>94</v>
      </c>
      <c r="D45" s="152">
        <v>2091</v>
      </c>
      <c r="E45" s="106">
        <v>278.60000000000002</v>
      </c>
      <c r="F45" s="106">
        <v>11998.4</v>
      </c>
      <c r="G45" s="106">
        <v>28291.8</v>
      </c>
      <c r="H45" s="106">
        <v>1220.5999999999999</v>
      </c>
      <c r="I45" s="106">
        <v>16199.8</v>
      </c>
      <c r="J45" s="106">
        <v>4537</v>
      </c>
      <c r="K45" s="120">
        <v>9899</v>
      </c>
      <c r="L45" s="127">
        <v>269.8</v>
      </c>
      <c r="M45" s="107">
        <v>264.8</v>
      </c>
      <c r="N45" s="107">
        <v>68.400000000000006</v>
      </c>
      <c r="O45" s="107">
        <v>0</v>
      </c>
      <c r="P45" s="137">
        <v>34</v>
      </c>
      <c r="Q45" s="142">
        <f>SUM(D45:P45)</f>
        <v>75153.2</v>
      </c>
      <c r="R45" s="59"/>
      <c r="S45" s="48"/>
      <c r="T45" s="54"/>
    </row>
    <row r="46" spans="2:20" ht="17.149999999999999" customHeight="1">
      <c r="B46" s="465"/>
      <c r="C46" s="148" t="s">
        <v>95</v>
      </c>
      <c r="D46" s="152">
        <v>2663.6</v>
      </c>
      <c r="E46" s="106">
        <v>265.5</v>
      </c>
      <c r="F46" s="106">
        <v>13461</v>
      </c>
      <c r="G46" s="106">
        <v>30494.799999999999</v>
      </c>
      <c r="H46" s="106">
        <v>1438.5</v>
      </c>
      <c r="I46" s="106">
        <v>17843.3</v>
      </c>
      <c r="J46" s="106">
        <v>5052.8</v>
      </c>
      <c r="K46" s="120">
        <v>10083.1</v>
      </c>
      <c r="L46" s="127">
        <v>362</v>
      </c>
      <c r="M46" s="107">
        <v>295.89999999999998</v>
      </c>
      <c r="N46" s="107">
        <v>90.8</v>
      </c>
      <c r="O46" s="107">
        <v>0</v>
      </c>
      <c r="P46" s="137">
        <v>32</v>
      </c>
      <c r="Q46" s="142">
        <f>SUM(D46:P46)</f>
        <v>82083.3</v>
      </c>
      <c r="R46" s="59"/>
      <c r="S46" s="48"/>
      <c r="T46" s="54"/>
    </row>
    <row r="47" spans="2:20" ht="15" customHeight="1">
      <c r="B47" s="465"/>
      <c r="C47" s="149" t="s">
        <v>74</v>
      </c>
      <c r="D47" s="128">
        <f>D43/D44-1</f>
        <v>0.66123019571295427</v>
      </c>
      <c r="E47" s="108">
        <f t="shared" ref="E47:P47" si="13">E43/E44-1</f>
        <v>-6.0000000000000053E-2</v>
      </c>
      <c r="F47" s="108">
        <f t="shared" si="13"/>
        <v>0.21508600284046087</v>
      </c>
      <c r="G47" s="108">
        <f t="shared" si="13"/>
        <v>6.11611300838244E-3</v>
      </c>
      <c r="H47" s="108">
        <f t="shared" si="13"/>
        <v>-6.5743944636678209E-2</v>
      </c>
      <c r="I47" s="108">
        <f t="shared" si="13"/>
        <v>2.8013364173734345E-2</v>
      </c>
      <c r="J47" s="108">
        <f t="shared" si="13"/>
        <v>0.1561245939231799</v>
      </c>
      <c r="K47" s="121">
        <f t="shared" si="13"/>
        <v>0.15125082290980907</v>
      </c>
      <c r="L47" s="128">
        <f t="shared" si="13"/>
        <v>2</v>
      </c>
      <c r="M47" s="108">
        <f t="shared" si="13"/>
        <v>0.14893617021276606</v>
      </c>
      <c r="N47" s="108">
        <f t="shared" si="13"/>
        <v>-0.36363636363636365</v>
      </c>
      <c r="O47" s="450"/>
      <c r="P47" s="138">
        <f t="shared" si="13"/>
        <v>-0.9</v>
      </c>
      <c r="Q47" s="143">
        <f>Q43/Q44-1</f>
        <v>9.4013986353003842E-2</v>
      </c>
      <c r="R47" s="134"/>
      <c r="S47" s="48"/>
      <c r="T47" s="54"/>
    </row>
    <row r="48" spans="2:20" ht="15" customHeight="1">
      <c r="B48" s="465"/>
      <c r="C48" s="149" t="s">
        <v>121</v>
      </c>
      <c r="D48" s="128">
        <f>D43/D45-1</f>
        <v>0.70492587278813956</v>
      </c>
      <c r="E48" s="108">
        <f t="shared" ref="E48:P48" si="14">E43/E45-1</f>
        <v>0.85570710696338814</v>
      </c>
      <c r="F48" s="108">
        <f t="shared" si="14"/>
        <v>0.28350446726230172</v>
      </c>
      <c r="G48" s="108">
        <f t="shared" si="14"/>
        <v>0.1454555736998</v>
      </c>
      <c r="H48" s="108">
        <f t="shared" si="14"/>
        <v>0.10601343601507462</v>
      </c>
      <c r="I48" s="108">
        <f t="shared" si="14"/>
        <v>-1.2333485598587601E-2</v>
      </c>
      <c r="J48" s="108">
        <f t="shared" si="14"/>
        <v>0.3334802733083535</v>
      </c>
      <c r="K48" s="121">
        <f t="shared" si="14"/>
        <v>0.41327406808768563</v>
      </c>
      <c r="L48" s="128">
        <f t="shared" si="14"/>
        <v>1.5018532246108229</v>
      </c>
      <c r="M48" s="108">
        <f t="shared" si="14"/>
        <v>1.9637462235649439E-2</v>
      </c>
      <c r="N48" s="108">
        <f t="shared" si="14"/>
        <v>-0.48830409356725146</v>
      </c>
      <c r="O48" s="450"/>
      <c r="P48" s="138">
        <f t="shared" si="14"/>
        <v>-0.94117647058823528</v>
      </c>
      <c r="Q48" s="143">
        <f>Q43/Q45-1</f>
        <v>0.20109323355492514</v>
      </c>
      <c r="R48" s="125"/>
      <c r="S48" s="48"/>
    </row>
    <row r="49" spans="2:20" ht="15" customHeight="1" thickBot="1">
      <c r="B49" s="466"/>
      <c r="C49" s="150" t="s">
        <v>122</v>
      </c>
      <c r="D49" s="129">
        <f>D43/D46-1</f>
        <v>0.33841417630274817</v>
      </c>
      <c r="E49" s="109">
        <f t="shared" ref="E49:Q49" si="15">E43/E46-1</f>
        <v>0.94726930320150649</v>
      </c>
      <c r="F49" s="109">
        <f t="shared" si="15"/>
        <v>0.14404576183047313</v>
      </c>
      <c r="G49" s="109">
        <f t="shared" si="15"/>
        <v>6.2705772787491565E-2</v>
      </c>
      <c r="H49" s="109">
        <f t="shared" si="15"/>
        <v>-6.1522419186652799E-2</v>
      </c>
      <c r="I49" s="109">
        <f t="shared" si="15"/>
        <v>-0.10330488194448328</v>
      </c>
      <c r="J49" s="109">
        <f t="shared" si="15"/>
        <v>0.19735592146928438</v>
      </c>
      <c r="K49" s="122">
        <f t="shared" si="15"/>
        <v>0.38747012327557995</v>
      </c>
      <c r="L49" s="129">
        <f t="shared" si="15"/>
        <v>0.86464088397790051</v>
      </c>
      <c r="M49" s="109">
        <f t="shared" si="15"/>
        <v>-8.7529570800946144E-2</v>
      </c>
      <c r="N49" s="109">
        <f t="shared" si="15"/>
        <v>-0.61453744493392071</v>
      </c>
      <c r="O49" s="451"/>
      <c r="P49" s="139">
        <f>P43/P46-1</f>
        <v>-0.9375</v>
      </c>
      <c r="Q49" s="144">
        <f t="shared" si="15"/>
        <v>9.9687756218378221E-2</v>
      </c>
      <c r="R49" s="134"/>
      <c r="S49" s="48"/>
    </row>
    <row r="50" spans="2:20" ht="18.649999999999999" customHeight="1">
      <c r="B50" s="470" t="s">
        <v>62</v>
      </c>
      <c r="C50" s="185" t="s">
        <v>108</v>
      </c>
      <c r="D50" s="186">
        <v>1580</v>
      </c>
      <c r="E50" s="187">
        <v>713</v>
      </c>
      <c r="F50" s="187">
        <v>13520</v>
      </c>
      <c r="G50" s="187">
        <v>12943</v>
      </c>
      <c r="H50" s="187">
        <v>950</v>
      </c>
      <c r="I50" s="187">
        <v>12690</v>
      </c>
      <c r="J50" s="187">
        <v>4675</v>
      </c>
      <c r="K50" s="188">
        <v>4690</v>
      </c>
      <c r="L50" s="189">
        <v>525</v>
      </c>
      <c r="M50" s="190">
        <v>100</v>
      </c>
      <c r="N50" s="190">
        <v>25</v>
      </c>
      <c r="O50" s="190">
        <v>0</v>
      </c>
      <c r="P50" s="191">
        <v>0</v>
      </c>
      <c r="Q50" s="192">
        <f>SUM(D50:P50)</f>
        <v>52411</v>
      </c>
      <c r="R50" s="135"/>
      <c r="S50" s="48"/>
      <c r="T50" s="54"/>
    </row>
    <row r="51" spans="2:20" ht="15" customHeight="1">
      <c r="B51" s="468"/>
      <c r="C51" s="147" t="s">
        <v>97</v>
      </c>
      <c r="D51" s="152">
        <v>1404</v>
      </c>
      <c r="E51" s="106">
        <v>720</v>
      </c>
      <c r="F51" s="106">
        <v>11671</v>
      </c>
      <c r="G51" s="106">
        <v>12990</v>
      </c>
      <c r="H51" s="106">
        <v>1045</v>
      </c>
      <c r="I51" s="106">
        <v>12371</v>
      </c>
      <c r="J51" s="106">
        <v>4413</v>
      </c>
      <c r="K51" s="120">
        <v>4473</v>
      </c>
      <c r="L51" s="127">
        <v>460</v>
      </c>
      <c r="M51" s="107">
        <v>60</v>
      </c>
      <c r="N51" s="107">
        <v>10</v>
      </c>
      <c r="O51" s="107">
        <v>0</v>
      </c>
      <c r="P51" s="137">
        <v>0</v>
      </c>
      <c r="Q51" s="142">
        <f>SUM(D51:P51)</f>
        <v>49617</v>
      </c>
      <c r="R51" s="125"/>
      <c r="S51" s="48"/>
      <c r="T51" s="54"/>
    </row>
    <row r="52" spans="2:20" ht="15" customHeight="1">
      <c r="B52" s="468"/>
      <c r="C52" s="148" t="s">
        <v>94</v>
      </c>
      <c r="D52" s="152">
        <v>1661</v>
      </c>
      <c r="E52" s="106">
        <v>597</v>
      </c>
      <c r="F52" s="106">
        <v>11542</v>
      </c>
      <c r="G52" s="106">
        <v>12135.6</v>
      </c>
      <c r="H52" s="106">
        <v>1125.2</v>
      </c>
      <c r="I52" s="106">
        <v>12895.4</v>
      </c>
      <c r="J52" s="106">
        <v>2406.6</v>
      </c>
      <c r="K52" s="120">
        <v>4129.3999999999996</v>
      </c>
      <c r="L52" s="127">
        <v>488.4</v>
      </c>
      <c r="M52" s="107">
        <v>74.400000000000006</v>
      </c>
      <c r="N52" s="107">
        <v>11.8</v>
      </c>
      <c r="O52" s="107">
        <v>0</v>
      </c>
      <c r="P52" s="137">
        <v>3.4</v>
      </c>
      <c r="Q52" s="142">
        <f>SUM(D52:P52)</f>
        <v>47070.200000000004</v>
      </c>
      <c r="R52" s="125"/>
      <c r="S52" s="48"/>
      <c r="T52" s="54"/>
    </row>
    <row r="53" spans="2:20" ht="15" customHeight="1">
      <c r="B53" s="468"/>
      <c r="C53" s="148" t="s">
        <v>95</v>
      </c>
      <c r="D53" s="152">
        <v>1635.4</v>
      </c>
      <c r="E53" s="106">
        <v>567.6</v>
      </c>
      <c r="F53" s="106">
        <v>10563.8</v>
      </c>
      <c r="G53" s="106">
        <v>12154.2</v>
      </c>
      <c r="H53" s="106">
        <v>1259.7</v>
      </c>
      <c r="I53" s="106">
        <v>13547</v>
      </c>
      <c r="J53" s="106">
        <v>2960</v>
      </c>
      <c r="K53" s="120">
        <v>3666</v>
      </c>
      <c r="L53" s="127">
        <v>470.6</v>
      </c>
      <c r="M53" s="107">
        <v>88.1</v>
      </c>
      <c r="N53" s="107">
        <v>12.7</v>
      </c>
      <c r="O53" s="107">
        <v>0</v>
      </c>
      <c r="P53" s="137">
        <v>2.4</v>
      </c>
      <c r="Q53" s="142">
        <f>SUM(D53:P53)</f>
        <v>46927.499999999993</v>
      </c>
      <c r="R53" s="125"/>
      <c r="S53" s="48"/>
      <c r="T53" s="54"/>
    </row>
    <row r="54" spans="2:20" ht="15" customHeight="1">
      <c r="B54" s="468"/>
      <c r="C54" s="149" t="s">
        <v>74</v>
      </c>
      <c r="D54" s="128">
        <f>D50/D51-1</f>
        <v>0.12535612535612528</v>
      </c>
      <c r="E54" s="108">
        <f t="shared" ref="E54:N54" si="16">E50/E51-1</f>
        <v>-9.7222222222221877E-3</v>
      </c>
      <c r="F54" s="108">
        <f t="shared" si="16"/>
        <v>0.1584268700197069</v>
      </c>
      <c r="G54" s="108">
        <f t="shared" si="16"/>
        <v>-3.6181678214011193E-3</v>
      </c>
      <c r="H54" s="108">
        <f t="shared" si="16"/>
        <v>-9.0909090909090939E-2</v>
      </c>
      <c r="I54" s="108">
        <f t="shared" si="16"/>
        <v>2.578611268288733E-2</v>
      </c>
      <c r="J54" s="108">
        <f t="shared" si="16"/>
        <v>5.9370043054611354E-2</v>
      </c>
      <c r="K54" s="121">
        <f t="shared" si="16"/>
        <v>4.8513302034428829E-2</v>
      </c>
      <c r="L54" s="128">
        <f t="shared" si="16"/>
        <v>0.14130434782608692</v>
      </c>
      <c r="M54" s="108">
        <f t="shared" si="16"/>
        <v>0.66666666666666674</v>
      </c>
      <c r="N54" s="108">
        <f t="shared" si="16"/>
        <v>1.5</v>
      </c>
      <c r="O54" s="450"/>
      <c r="P54" s="450"/>
      <c r="Q54" s="143">
        <f>Q50/Q51-1</f>
        <v>5.6311344901949001E-2</v>
      </c>
      <c r="R54" s="125"/>
      <c r="S54" s="48"/>
      <c r="T54" s="54"/>
    </row>
    <row r="55" spans="2:20" ht="15" customHeight="1">
      <c r="B55" s="468"/>
      <c r="C55" s="149" t="s">
        <v>92</v>
      </c>
      <c r="D55" s="128">
        <f>D50/D52-1</f>
        <v>-4.8765803732691126E-2</v>
      </c>
      <c r="E55" s="108">
        <f t="shared" ref="E55:P55" si="17">E50/E52-1</f>
        <v>0.19430485762144056</v>
      </c>
      <c r="F55" s="108">
        <f t="shared" si="17"/>
        <v>0.17137411193900531</v>
      </c>
      <c r="G55" s="108">
        <f t="shared" si="17"/>
        <v>6.6531527077359209E-2</v>
      </c>
      <c r="H55" s="108">
        <f t="shared" si="17"/>
        <v>-0.155705652328475</v>
      </c>
      <c r="I55" s="108">
        <f t="shared" si="17"/>
        <v>-1.5928160429300342E-2</v>
      </c>
      <c r="J55" s="108">
        <f t="shared" si="17"/>
        <v>0.94257458655364412</v>
      </c>
      <c r="K55" s="121">
        <f t="shared" si="17"/>
        <v>0.13575822153339479</v>
      </c>
      <c r="L55" s="128">
        <f t="shared" si="17"/>
        <v>7.493857493857492E-2</v>
      </c>
      <c r="M55" s="108">
        <f t="shared" si="17"/>
        <v>0.34408602150537626</v>
      </c>
      <c r="N55" s="108">
        <f t="shared" si="17"/>
        <v>1.1186440677966099</v>
      </c>
      <c r="O55" s="450"/>
      <c r="P55" s="138">
        <f t="shared" si="17"/>
        <v>-1</v>
      </c>
      <c r="Q55" s="143">
        <f>Q50/Q52-1</f>
        <v>0.11346456994021681</v>
      </c>
      <c r="R55" s="59"/>
      <c r="S55" s="48"/>
    </row>
    <row r="56" spans="2:20" ht="15" customHeight="1" thickBot="1">
      <c r="B56" s="469"/>
      <c r="C56" s="150" t="s">
        <v>93</v>
      </c>
      <c r="D56" s="129">
        <f>D50/D53-1</f>
        <v>-3.387550446373977E-2</v>
      </c>
      <c r="E56" s="109">
        <f t="shared" ref="E56:Q56" si="18">E50/E53-1</f>
        <v>0.25616631430584924</v>
      </c>
      <c r="F56" s="109">
        <f t="shared" si="18"/>
        <v>0.27984248092542474</v>
      </c>
      <c r="G56" s="109">
        <f t="shared" si="18"/>
        <v>6.4899376347270943E-2</v>
      </c>
      <c r="H56" s="109">
        <f t="shared" si="18"/>
        <v>-0.24585218702865763</v>
      </c>
      <c r="I56" s="109">
        <f t="shared" si="18"/>
        <v>-6.3261238650623719E-2</v>
      </c>
      <c r="J56" s="109">
        <f t="shared" si="18"/>
        <v>0.57939189189189189</v>
      </c>
      <c r="K56" s="122">
        <f t="shared" si="18"/>
        <v>0.27932351336606653</v>
      </c>
      <c r="L56" s="129">
        <f t="shared" si="18"/>
        <v>0.11559711007224815</v>
      </c>
      <c r="M56" s="109">
        <f t="shared" si="18"/>
        <v>0.13507377979568669</v>
      </c>
      <c r="N56" s="109">
        <f t="shared" si="18"/>
        <v>0.96850393700787407</v>
      </c>
      <c r="O56" s="451"/>
      <c r="P56" s="139">
        <f t="shared" si="18"/>
        <v>-1</v>
      </c>
      <c r="Q56" s="144">
        <f t="shared" si="18"/>
        <v>0.11685046081721828</v>
      </c>
      <c r="R56" s="135"/>
      <c r="S56" s="48"/>
    </row>
    <row r="57" spans="2:20" ht="13.5" customHeight="1">
      <c r="B57" s="470" t="s">
        <v>129</v>
      </c>
      <c r="C57" s="185" t="s">
        <v>108</v>
      </c>
      <c r="D57" s="186">
        <v>5145</v>
      </c>
      <c r="E57" s="187">
        <v>1230</v>
      </c>
      <c r="F57" s="187">
        <v>28920</v>
      </c>
      <c r="G57" s="187">
        <v>45350</v>
      </c>
      <c r="H57" s="187">
        <v>2300</v>
      </c>
      <c r="I57" s="187">
        <v>28690</v>
      </c>
      <c r="J57" s="187">
        <v>10725</v>
      </c>
      <c r="K57" s="188">
        <v>18680</v>
      </c>
      <c r="L57" s="189">
        <v>1200</v>
      </c>
      <c r="M57" s="190">
        <v>370</v>
      </c>
      <c r="N57" s="190">
        <v>60</v>
      </c>
      <c r="O57" s="190">
        <v>5</v>
      </c>
      <c r="P57" s="191">
        <v>2</v>
      </c>
      <c r="Q57" s="192">
        <f>SUM(D57:P57)</f>
        <v>142677</v>
      </c>
      <c r="R57" s="125"/>
      <c r="S57" s="48"/>
      <c r="T57" s="54"/>
    </row>
    <row r="58" spans="2:20" ht="14.5" customHeight="1">
      <c r="B58" s="468"/>
      <c r="C58" s="147" t="s">
        <v>97</v>
      </c>
      <c r="D58" s="152">
        <v>3550</v>
      </c>
      <c r="E58" s="106">
        <v>1270</v>
      </c>
      <c r="F58" s="106">
        <v>24345</v>
      </c>
      <c r="G58" s="106">
        <v>45200</v>
      </c>
      <c r="H58" s="106">
        <v>2490</v>
      </c>
      <c r="I58" s="106">
        <v>27935</v>
      </c>
      <c r="J58" s="106">
        <v>9646</v>
      </c>
      <c r="K58" s="120">
        <v>16625</v>
      </c>
      <c r="L58" s="127">
        <v>685</v>
      </c>
      <c r="M58" s="107">
        <v>295</v>
      </c>
      <c r="N58" s="107">
        <v>65</v>
      </c>
      <c r="O58" s="107">
        <v>0</v>
      </c>
      <c r="P58" s="137">
        <v>20</v>
      </c>
      <c r="Q58" s="142">
        <f>SUM(D58:P58)</f>
        <v>132126</v>
      </c>
      <c r="R58" s="135"/>
      <c r="S58" s="48"/>
      <c r="T58" s="54"/>
    </row>
    <row r="59" spans="2:20" ht="14.5" customHeight="1">
      <c r="B59" s="468"/>
      <c r="C59" s="148" t="s">
        <v>94</v>
      </c>
      <c r="D59" s="152">
        <v>3752</v>
      </c>
      <c r="E59" s="106">
        <v>875.6</v>
      </c>
      <c r="F59" s="106">
        <v>23540.400000000001</v>
      </c>
      <c r="G59" s="106">
        <v>40427.4</v>
      </c>
      <c r="H59" s="106">
        <v>2345.8000000000002</v>
      </c>
      <c r="I59" s="106">
        <v>29095.200000000001</v>
      </c>
      <c r="J59" s="106">
        <v>6943.6</v>
      </c>
      <c r="K59" s="120">
        <v>14028.4</v>
      </c>
      <c r="L59" s="127">
        <v>758.2</v>
      </c>
      <c r="M59" s="107">
        <v>339.2</v>
      </c>
      <c r="N59" s="107">
        <v>80.2</v>
      </c>
      <c r="O59" s="107">
        <v>0</v>
      </c>
      <c r="P59" s="137">
        <v>37.200000000000003</v>
      </c>
      <c r="Q59" s="142">
        <f>SUM(D59:P59)</f>
        <v>122223.19999999998</v>
      </c>
      <c r="R59" s="135"/>
      <c r="S59" s="48"/>
      <c r="T59" s="54"/>
    </row>
    <row r="60" spans="2:20" ht="14.5" customHeight="1">
      <c r="B60" s="468"/>
      <c r="C60" s="148" t="s">
        <v>95</v>
      </c>
      <c r="D60" s="152">
        <v>4299</v>
      </c>
      <c r="E60" s="106">
        <v>833.1</v>
      </c>
      <c r="F60" s="106">
        <v>24024.799999999999</v>
      </c>
      <c r="G60" s="106">
        <v>42649</v>
      </c>
      <c r="H60" s="106">
        <v>2698.2</v>
      </c>
      <c r="I60" s="106">
        <v>31390.3</v>
      </c>
      <c r="J60" s="106">
        <v>8012.8</v>
      </c>
      <c r="K60" s="120">
        <v>13749.1</v>
      </c>
      <c r="L60" s="127">
        <v>832.6</v>
      </c>
      <c r="M60" s="107">
        <v>384</v>
      </c>
      <c r="N60" s="107">
        <v>103.5</v>
      </c>
      <c r="O60" s="107">
        <v>0</v>
      </c>
      <c r="P60" s="137">
        <v>34</v>
      </c>
      <c r="Q60" s="142">
        <f>SUM(D60:P60)</f>
        <v>129010.40000000001</v>
      </c>
      <c r="R60" s="135"/>
      <c r="S60" s="48"/>
      <c r="T60" s="54"/>
    </row>
    <row r="61" spans="2:20" ht="14.5" customHeight="1">
      <c r="B61" s="468"/>
      <c r="C61" s="149" t="s">
        <v>74</v>
      </c>
      <c r="D61" s="128">
        <f>D57/D58-1</f>
        <v>0.44929577464788739</v>
      </c>
      <c r="E61" s="108">
        <f t="shared" ref="E61:P61" si="19">E57/E58-1</f>
        <v>-3.1496062992126039E-2</v>
      </c>
      <c r="F61" s="108">
        <f t="shared" si="19"/>
        <v>0.18792359827479976</v>
      </c>
      <c r="G61" s="108">
        <f t="shared" si="19"/>
        <v>3.3185840707965486E-3</v>
      </c>
      <c r="H61" s="108">
        <f t="shared" si="19"/>
        <v>-7.6305220883534086E-2</v>
      </c>
      <c r="I61" s="108">
        <f t="shared" si="19"/>
        <v>2.7027027027026973E-2</v>
      </c>
      <c r="J61" s="108">
        <f t="shared" si="19"/>
        <v>0.11185983827493251</v>
      </c>
      <c r="K61" s="121">
        <f t="shared" si="19"/>
        <v>0.12360902255639106</v>
      </c>
      <c r="L61" s="128">
        <f t="shared" si="19"/>
        <v>0.75182481751824826</v>
      </c>
      <c r="M61" s="108">
        <f t="shared" si="19"/>
        <v>0.25423728813559321</v>
      </c>
      <c r="N61" s="108">
        <f t="shared" si="19"/>
        <v>-7.6923076923076872E-2</v>
      </c>
      <c r="O61" s="450"/>
      <c r="P61" s="138">
        <f t="shared" si="19"/>
        <v>-0.9</v>
      </c>
      <c r="Q61" s="143">
        <f>Q57/Q58-1</f>
        <v>7.985559238908313E-2</v>
      </c>
      <c r="R61" s="135"/>
      <c r="S61" s="48"/>
      <c r="T61" s="54"/>
    </row>
    <row r="62" spans="2:20" ht="14.5" customHeight="1">
      <c r="B62" s="468"/>
      <c r="C62" s="149" t="s">
        <v>121</v>
      </c>
      <c r="D62" s="128">
        <f>D57/D59-1</f>
        <v>0.37126865671641784</v>
      </c>
      <c r="E62" s="108">
        <f t="shared" ref="E62:P62" si="20">E57/E59-1</f>
        <v>0.40475102786660577</v>
      </c>
      <c r="F62" s="108">
        <f t="shared" si="20"/>
        <v>0.22852627822806748</v>
      </c>
      <c r="G62" s="108">
        <f t="shared" si="20"/>
        <v>0.12176395217105229</v>
      </c>
      <c r="H62" s="108">
        <f t="shared" si="20"/>
        <v>-1.9524256117316119E-2</v>
      </c>
      <c r="I62" s="108">
        <f t="shared" si="20"/>
        <v>-1.3926695812367718E-2</v>
      </c>
      <c r="J62" s="108">
        <f t="shared" si="20"/>
        <v>0.54458782187914045</v>
      </c>
      <c r="K62" s="121">
        <f t="shared" si="20"/>
        <v>0.33158450001425677</v>
      </c>
      <c r="L62" s="128">
        <f t="shared" si="20"/>
        <v>0.58269585861250328</v>
      </c>
      <c r="M62" s="108">
        <f t="shared" si="20"/>
        <v>9.0801886792452935E-2</v>
      </c>
      <c r="N62" s="108">
        <f t="shared" si="20"/>
        <v>-0.25187032418952626</v>
      </c>
      <c r="O62" s="450"/>
      <c r="P62" s="138">
        <f t="shared" si="20"/>
        <v>-0.94623655913978499</v>
      </c>
      <c r="Q62" s="143">
        <f>Q57/Q59-1</f>
        <v>0.16734793394380132</v>
      </c>
      <c r="R62" s="125"/>
      <c r="S62" s="48"/>
    </row>
    <row r="63" spans="2:20" ht="14.5" customHeight="1" thickBot="1">
      <c r="B63" s="469"/>
      <c r="C63" s="150" t="s">
        <v>122</v>
      </c>
      <c r="D63" s="129">
        <f>D57/D60-1</f>
        <v>0.19678995115143061</v>
      </c>
      <c r="E63" s="109">
        <f t="shared" ref="E63:Q63" si="21">E57/E60-1</f>
        <v>0.4764133957508101</v>
      </c>
      <c r="F63" s="109">
        <f t="shared" si="21"/>
        <v>0.20375611867736665</v>
      </c>
      <c r="G63" s="109">
        <f t="shared" si="21"/>
        <v>6.3330910455110301E-2</v>
      </c>
      <c r="H63" s="109">
        <f t="shared" si="21"/>
        <v>-0.14757986806018819</v>
      </c>
      <c r="I63" s="109">
        <f t="shared" si="21"/>
        <v>-8.602338939099019E-2</v>
      </c>
      <c r="J63" s="109">
        <f t="shared" si="21"/>
        <v>0.33848342651757179</v>
      </c>
      <c r="K63" s="122">
        <f t="shared" si="21"/>
        <v>0.35863438334145514</v>
      </c>
      <c r="L63" s="129">
        <f t="shared" si="21"/>
        <v>0.44126831611818407</v>
      </c>
      <c r="M63" s="109">
        <f t="shared" si="21"/>
        <v>-3.645833333333337E-2</v>
      </c>
      <c r="N63" s="109">
        <f t="shared" si="21"/>
        <v>-0.42028985507246375</v>
      </c>
      <c r="O63" s="451"/>
      <c r="P63" s="139">
        <f t="shared" si="21"/>
        <v>-0.94117647058823528</v>
      </c>
      <c r="Q63" s="144">
        <f t="shared" si="21"/>
        <v>0.10593409523573283</v>
      </c>
      <c r="R63" s="59"/>
      <c r="S63" s="48"/>
    </row>
    <row r="64" spans="2:20" ht="13.5" customHeight="1">
      <c r="B64" s="470" t="s">
        <v>63</v>
      </c>
      <c r="C64" s="185" t="s">
        <v>108</v>
      </c>
      <c r="D64" s="186">
        <v>2040</v>
      </c>
      <c r="E64" s="187">
        <v>320</v>
      </c>
      <c r="F64" s="187">
        <v>1120</v>
      </c>
      <c r="G64" s="187">
        <v>4430</v>
      </c>
      <c r="H64" s="187">
        <v>660</v>
      </c>
      <c r="I64" s="187">
        <v>140</v>
      </c>
      <c r="J64" s="187">
        <v>1270</v>
      </c>
      <c r="K64" s="188">
        <v>2630</v>
      </c>
      <c r="L64" s="189">
        <v>1100</v>
      </c>
      <c r="M64" s="190">
        <v>30</v>
      </c>
      <c r="N64" s="190">
        <v>355</v>
      </c>
      <c r="O64" s="190">
        <v>0</v>
      </c>
      <c r="P64" s="191">
        <v>7</v>
      </c>
      <c r="Q64" s="192">
        <f>SUM(D64:P64)</f>
        <v>14102</v>
      </c>
      <c r="R64" s="135"/>
      <c r="S64" s="48"/>
      <c r="T64" s="54"/>
    </row>
    <row r="65" spans="2:20" ht="15" customHeight="1">
      <c r="B65" s="468"/>
      <c r="C65" s="147" t="s">
        <v>97</v>
      </c>
      <c r="D65" s="152">
        <v>2830</v>
      </c>
      <c r="E65" s="106">
        <v>300</v>
      </c>
      <c r="F65" s="106">
        <v>1590</v>
      </c>
      <c r="G65" s="106">
        <v>4760</v>
      </c>
      <c r="H65" s="106">
        <v>775</v>
      </c>
      <c r="I65" s="106">
        <v>180</v>
      </c>
      <c r="J65" s="106">
        <v>1670</v>
      </c>
      <c r="K65" s="120">
        <v>3705</v>
      </c>
      <c r="L65" s="127">
        <v>1570</v>
      </c>
      <c r="M65" s="107">
        <v>25</v>
      </c>
      <c r="N65" s="107">
        <v>360</v>
      </c>
      <c r="O65" s="107">
        <v>0</v>
      </c>
      <c r="P65" s="137">
        <v>0</v>
      </c>
      <c r="Q65" s="142">
        <f>SUM(D65:P65)</f>
        <v>17765</v>
      </c>
      <c r="R65" s="125"/>
      <c r="S65" s="48"/>
      <c r="T65" s="54"/>
    </row>
    <row r="66" spans="2:20" ht="15" customHeight="1">
      <c r="B66" s="468"/>
      <c r="C66" s="148" t="s">
        <v>94</v>
      </c>
      <c r="D66" s="152">
        <v>3788</v>
      </c>
      <c r="E66" s="106">
        <v>418</v>
      </c>
      <c r="F66" s="106">
        <v>2141</v>
      </c>
      <c r="G66" s="106">
        <v>6083</v>
      </c>
      <c r="H66" s="106">
        <v>956</v>
      </c>
      <c r="I66" s="106">
        <v>203</v>
      </c>
      <c r="J66" s="106">
        <v>2104</v>
      </c>
      <c r="K66" s="120">
        <v>4781</v>
      </c>
      <c r="L66" s="127">
        <v>2149.1999999999998</v>
      </c>
      <c r="M66" s="107">
        <v>87</v>
      </c>
      <c r="N66" s="107">
        <v>463</v>
      </c>
      <c r="O66" s="107">
        <v>0</v>
      </c>
      <c r="P66" s="137">
        <v>14</v>
      </c>
      <c r="Q66" s="142">
        <f>SUM(D66:P66)</f>
        <v>23187.200000000001</v>
      </c>
      <c r="R66" s="125"/>
      <c r="S66" s="48"/>
      <c r="T66" s="54"/>
    </row>
    <row r="67" spans="2:20" ht="15" customHeight="1">
      <c r="B67" s="468"/>
      <c r="C67" s="148" t="s">
        <v>95</v>
      </c>
      <c r="D67" s="152">
        <v>3318.8</v>
      </c>
      <c r="E67" s="106">
        <v>407.2</v>
      </c>
      <c r="F67" s="106">
        <v>1896</v>
      </c>
      <c r="G67" s="106">
        <v>5547.8</v>
      </c>
      <c r="H67" s="106">
        <v>893.5</v>
      </c>
      <c r="I67" s="106">
        <v>205.1</v>
      </c>
      <c r="J67" s="106">
        <v>1951.1</v>
      </c>
      <c r="K67" s="120">
        <v>4177.6000000000004</v>
      </c>
      <c r="L67" s="127">
        <v>1949.6</v>
      </c>
      <c r="M67" s="107">
        <v>81.7</v>
      </c>
      <c r="N67" s="107">
        <v>435</v>
      </c>
      <c r="O67" s="107">
        <v>0</v>
      </c>
      <c r="P67" s="137">
        <v>8.6</v>
      </c>
      <c r="Q67" s="142">
        <f>SUM(D67:P67)</f>
        <v>20871.999999999996</v>
      </c>
      <c r="R67" s="125"/>
      <c r="S67" s="48"/>
      <c r="T67" s="54"/>
    </row>
    <row r="68" spans="2:20" ht="15" customHeight="1">
      <c r="B68" s="468"/>
      <c r="C68" s="149" t="s">
        <v>74</v>
      </c>
      <c r="D68" s="128">
        <f>D64/D65-1</f>
        <v>-0.27915194346289751</v>
      </c>
      <c r="E68" s="108">
        <f t="shared" ref="E68:N68" si="22">E64/E65-1</f>
        <v>6.6666666666666652E-2</v>
      </c>
      <c r="F68" s="108">
        <f t="shared" si="22"/>
        <v>-0.29559748427672961</v>
      </c>
      <c r="G68" s="108">
        <f t="shared" si="22"/>
        <v>-6.9327731092436951E-2</v>
      </c>
      <c r="H68" s="108">
        <f t="shared" si="22"/>
        <v>-0.14838709677419359</v>
      </c>
      <c r="I68" s="108">
        <f t="shared" si="22"/>
        <v>-0.22222222222222221</v>
      </c>
      <c r="J68" s="108">
        <f t="shared" si="22"/>
        <v>-0.23952095808383234</v>
      </c>
      <c r="K68" s="121">
        <f t="shared" si="22"/>
        <v>-0.29014844804318485</v>
      </c>
      <c r="L68" s="128">
        <f t="shared" si="22"/>
        <v>-0.29936305732484081</v>
      </c>
      <c r="M68" s="108">
        <f t="shared" si="22"/>
        <v>0.19999999999999996</v>
      </c>
      <c r="N68" s="108">
        <f t="shared" si="22"/>
        <v>-1.388888888888884E-2</v>
      </c>
      <c r="O68" s="450"/>
      <c r="P68" s="450"/>
      <c r="Q68" s="143">
        <f>Q64/Q65-1</f>
        <v>-0.20619195046439631</v>
      </c>
      <c r="R68" s="125"/>
      <c r="S68" s="48"/>
      <c r="T68" s="54"/>
    </row>
    <row r="69" spans="2:20" ht="15" customHeight="1">
      <c r="B69" s="468"/>
      <c r="C69" s="149" t="s">
        <v>121</v>
      </c>
      <c r="D69" s="128">
        <f>D64/D66-1</f>
        <v>-0.46145723336853217</v>
      </c>
      <c r="E69" s="108">
        <f t="shared" ref="E69:P69" si="23">E64/E66-1</f>
        <v>-0.23444976076555024</v>
      </c>
      <c r="F69" s="108">
        <f t="shared" si="23"/>
        <v>-0.47687996263428301</v>
      </c>
      <c r="G69" s="108">
        <f t="shared" si="23"/>
        <v>-0.27174091731053751</v>
      </c>
      <c r="H69" s="108">
        <f t="shared" si="23"/>
        <v>-0.30962343096234313</v>
      </c>
      <c r="I69" s="108">
        <f t="shared" si="23"/>
        <v>-0.31034482758620685</v>
      </c>
      <c r="J69" s="108">
        <f t="shared" si="23"/>
        <v>-0.39638783269961975</v>
      </c>
      <c r="K69" s="121">
        <f t="shared" si="23"/>
        <v>-0.44990587743149968</v>
      </c>
      <c r="L69" s="128">
        <f t="shared" si="23"/>
        <v>-0.48818164898566907</v>
      </c>
      <c r="M69" s="108">
        <f t="shared" si="23"/>
        <v>-0.65517241379310343</v>
      </c>
      <c r="N69" s="108">
        <f t="shared" si="23"/>
        <v>-0.23326133909287261</v>
      </c>
      <c r="O69" s="450"/>
      <c r="P69" s="138">
        <f t="shared" si="23"/>
        <v>-0.5</v>
      </c>
      <c r="Q69" s="143">
        <f>Q64/Q66-1</f>
        <v>-0.39181962462048026</v>
      </c>
      <c r="R69" s="126"/>
      <c r="S69" s="48"/>
    </row>
    <row r="70" spans="2:20" ht="15" customHeight="1" thickBot="1">
      <c r="B70" s="469"/>
      <c r="C70" s="150" t="s">
        <v>122</v>
      </c>
      <c r="D70" s="129">
        <f>D64/D67-1</f>
        <v>-0.38531999517898041</v>
      </c>
      <c r="E70" s="109">
        <f t="shared" ref="E70:Q70" si="24">E64/E67-1</f>
        <v>-0.21414538310412568</v>
      </c>
      <c r="F70" s="109">
        <f t="shared" si="24"/>
        <v>-0.40928270042194093</v>
      </c>
      <c r="G70" s="109">
        <f t="shared" si="24"/>
        <v>-0.20148527344172462</v>
      </c>
      <c r="H70" s="109">
        <f t="shared" si="24"/>
        <v>-0.26133184107442642</v>
      </c>
      <c r="I70" s="109">
        <f t="shared" si="24"/>
        <v>-0.31740614334470985</v>
      </c>
      <c r="J70" s="109">
        <f t="shared" si="24"/>
        <v>-0.3490851314643022</v>
      </c>
      <c r="K70" s="122">
        <f t="shared" si="24"/>
        <v>-0.37045193412485644</v>
      </c>
      <c r="L70" s="129">
        <f t="shared" si="24"/>
        <v>-0.43578169881001227</v>
      </c>
      <c r="M70" s="109">
        <f t="shared" si="24"/>
        <v>-0.63280293757649941</v>
      </c>
      <c r="N70" s="109">
        <f t="shared" si="24"/>
        <v>-0.18390804597701149</v>
      </c>
      <c r="O70" s="451"/>
      <c r="P70" s="139">
        <f t="shared" si="24"/>
        <v>-0.18604651162790697</v>
      </c>
      <c r="Q70" s="144">
        <f t="shared" si="24"/>
        <v>-0.32435799156765033</v>
      </c>
      <c r="R70" s="136"/>
      <c r="S70" s="48"/>
    </row>
    <row r="71" spans="2:20" ht="15" customHeight="1">
      <c r="B71" s="470" t="s">
        <v>64</v>
      </c>
      <c r="C71" s="185" t="s">
        <v>108</v>
      </c>
      <c r="D71" s="186">
        <v>600</v>
      </c>
      <c r="E71" s="187">
        <v>90</v>
      </c>
      <c r="F71" s="187">
        <v>5330</v>
      </c>
      <c r="G71" s="187">
        <v>3560</v>
      </c>
      <c r="H71" s="187">
        <v>840</v>
      </c>
      <c r="I71" s="187">
        <v>270</v>
      </c>
      <c r="J71" s="187">
        <v>3590</v>
      </c>
      <c r="K71" s="188">
        <v>3540</v>
      </c>
      <c r="L71" s="189">
        <v>1550</v>
      </c>
      <c r="M71" s="190">
        <v>460</v>
      </c>
      <c r="N71" s="190">
        <v>360</v>
      </c>
      <c r="O71" s="190">
        <v>5</v>
      </c>
      <c r="P71" s="191">
        <v>10</v>
      </c>
      <c r="Q71" s="192">
        <f>SUM(D71:P71)</f>
        <v>20205</v>
      </c>
      <c r="R71" s="69"/>
      <c r="S71" s="48"/>
      <c r="T71" s="54"/>
    </row>
    <row r="72" spans="2:20" ht="15" customHeight="1">
      <c r="B72" s="468"/>
      <c r="C72" s="147" t="s">
        <v>97</v>
      </c>
      <c r="D72" s="152">
        <v>770</v>
      </c>
      <c r="E72" s="106">
        <v>95</v>
      </c>
      <c r="F72" s="106">
        <v>8830</v>
      </c>
      <c r="G72" s="106">
        <v>11075</v>
      </c>
      <c r="H72" s="106">
        <v>2000</v>
      </c>
      <c r="I72" s="106">
        <v>295</v>
      </c>
      <c r="J72" s="106">
        <v>4800</v>
      </c>
      <c r="K72" s="120">
        <v>8530</v>
      </c>
      <c r="L72" s="127">
        <v>1555</v>
      </c>
      <c r="M72" s="107">
        <v>290</v>
      </c>
      <c r="N72" s="107">
        <v>295</v>
      </c>
      <c r="O72" s="107">
        <v>0</v>
      </c>
      <c r="P72" s="137">
        <v>0</v>
      </c>
      <c r="Q72" s="142">
        <f>SUM(D72:P72)</f>
        <v>38535</v>
      </c>
      <c r="R72" s="40"/>
      <c r="S72" s="48"/>
      <c r="T72" s="54"/>
    </row>
    <row r="73" spans="2:20" ht="15" customHeight="1">
      <c r="B73" s="468"/>
      <c r="C73" s="148" t="s">
        <v>94</v>
      </c>
      <c r="D73" s="152">
        <v>547</v>
      </c>
      <c r="E73" s="106">
        <v>105.8</v>
      </c>
      <c r="F73" s="106">
        <v>6578</v>
      </c>
      <c r="G73" s="106">
        <v>6051.2</v>
      </c>
      <c r="H73" s="106">
        <v>1052.4000000000001</v>
      </c>
      <c r="I73" s="106">
        <v>183.8</v>
      </c>
      <c r="J73" s="106">
        <v>3649.8</v>
      </c>
      <c r="K73" s="120">
        <v>5509.6</v>
      </c>
      <c r="L73" s="127">
        <v>1358.8</v>
      </c>
      <c r="M73" s="107">
        <v>341.2</v>
      </c>
      <c r="N73" s="107">
        <v>272.8</v>
      </c>
      <c r="O73" s="107">
        <v>10.199999999999999</v>
      </c>
      <c r="P73" s="137">
        <v>1</v>
      </c>
      <c r="Q73" s="142">
        <f>SUM(D73:P73)</f>
        <v>25661.599999999999</v>
      </c>
      <c r="R73" s="40"/>
      <c r="S73" s="48"/>
      <c r="T73" s="54"/>
    </row>
    <row r="74" spans="2:20" ht="15" customHeight="1">
      <c r="B74" s="468"/>
      <c r="C74" s="148" t="s">
        <v>95</v>
      </c>
      <c r="D74" s="152">
        <v>573.29999999999995</v>
      </c>
      <c r="E74" s="106">
        <v>97.7</v>
      </c>
      <c r="F74" s="106">
        <v>6257</v>
      </c>
      <c r="G74" s="106">
        <v>5034.2</v>
      </c>
      <c r="H74" s="106">
        <v>848.6</v>
      </c>
      <c r="I74" s="106">
        <v>172.6</v>
      </c>
      <c r="J74" s="106">
        <v>3351</v>
      </c>
      <c r="K74" s="120">
        <v>4256.5</v>
      </c>
      <c r="L74" s="127">
        <v>1485.9</v>
      </c>
      <c r="M74" s="107">
        <v>380.7</v>
      </c>
      <c r="N74" s="107">
        <v>230.9</v>
      </c>
      <c r="O74" s="107">
        <v>6.6</v>
      </c>
      <c r="P74" s="137">
        <v>1.1000000000000001</v>
      </c>
      <c r="Q74" s="142">
        <f>SUM(D74:P74)</f>
        <v>22696.100000000002</v>
      </c>
      <c r="R74" s="40"/>
      <c r="S74" s="48"/>
      <c r="T74" s="54"/>
    </row>
    <row r="75" spans="2:20" ht="15" customHeight="1">
      <c r="B75" s="468"/>
      <c r="C75" s="149" t="s">
        <v>74</v>
      </c>
      <c r="D75" s="128">
        <f>D71/D72-1</f>
        <v>-0.22077922077922074</v>
      </c>
      <c r="E75" s="108">
        <f t="shared" ref="E75:N75" si="25">E71/E72-1</f>
        <v>-5.2631578947368474E-2</v>
      </c>
      <c r="F75" s="108">
        <f t="shared" si="25"/>
        <v>-0.39637599093997733</v>
      </c>
      <c r="G75" s="108">
        <f t="shared" si="25"/>
        <v>-0.67855530474040626</v>
      </c>
      <c r="H75" s="108">
        <f t="shared" si="25"/>
        <v>-0.58000000000000007</v>
      </c>
      <c r="I75" s="108">
        <f t="shared" si="25"/>
        <v>-8.4745762711864403E-2</v>
      </c>
      <c r="J75" s="108">
        <f t="shared" si="25"/>
        <v>-0.25208333333333333</v>
      </c>
      <c r="K75" s="121">
        <f t="shared" si="25"/>
        <v>-0.58499413833528724</v>
      </c>
      <c r="L75" s="128">
        <f t="shared" si="25"/>
        <v>-3.215434083601254E-3</v>
      </c>
      <c r="M75" s="108">
        <f t="shared" si="25"/>
        <v>0.5862068965517242</v>
      </c>
      <c r="N75" s="108">
        <f t="shared" si="25"/>
        <v>0.22033898305084754</v>
      </c>
      <c r="O75" s="450"/>
      <c r="P75" s="450"/>
      <c r="Q75" s="143">
        <f>Q71/Q72-1</f>
        <v>-0.47567146749708056</v>
      </c>
      <c r="R75" s="40"/>
      <c r="S75" s="48"/>
      <c r="T75" s="54"/>
    </row>
    <row r="76" spans="2:20" ht="15" customHeight="1">
      <c r="B76" s="468"/>
      <c r="C76" s="149" t="s">
        <v>121</v>
      </c>
      <c r="D76" s="128">
        <f>D71/D73-1</f>
        <v>9.6892138939670858E-2</v>
      </c>
      <c r="E76" s="108">
        <f t="shared" ref="E76:P76" si="26">E71/E73-1</f>
        <v>-0.14933837429111529</v>
      </c>
      <c r="F76" s="108">
        <f t="shared" si="26"/>
        <v>-0.18972332015810278</v>
      </c>
      <c r="G76" s="108">
        <f t="shared" si="26"/>
        <v>-0.41168693812797463</v>
      </c>
      <c r="H76" s="108">
        <f t="shared" si="26"/>
        <v>-0.20182440136830104</v>
      </c>
      <c r="I76" s="108">
        <f t="shared" si="26"/>
        <v>0.46898803046789972</v>
      </c>
      <c r="J76" s="108">
        <f t="shared" si="26"/>
        <v>-1.6384459422434161E-2</v>
      </c>
      <c r="K76" s="121">
        <f t="shared" si="26"/>
        <v>-0.35748511688688833</v>
      </c>
      <c r="L76" s="128">
        <f t="shared" si="26"/>
        <v>0.14071239328819551</v>
      </c>
      <c r="M76" s="108">
        <f t="shared" si="26"/>
        <v>0.34818288393903862</v>
      </c>
      <c r="N76" s="108">
        <f t="shared" si="26"/>
        <v>0.31964809384164217</v>
      </c>
      <c r="O76" s="108">
        <f t="shared" si="26"/>
        <v>-0.50980392156862742</v>
      </c>
      <c r="P76" s="138">
        <f t="shared" si="26"/>
        <v>9</v>
      </c>
      <c r="Q76" s="143">
        <f>Q71/Q73-1</f>
        <v>-0.2126367802475293</v>
      </c>
      <c r="R76" s="40"/>
      <c r="S76" s="48"/>
    </row>
    <row r="77" spans="2:20" ht="15" customHeight="1" thickBot="1">
      <c r="B77" s="469"/>
      <c r="C77" s="150" t="s">
        <v>122</v>
      </c>
      <c r="D77" s="129">
        <f>D71/D74-1</f>
        <v>4.6572475143903835E-2</v>
      </c>
      <c r="E77" s="109">
        <f t="shared" ref="E77:Q77" si="27">E71/E74-1</f>
        <v>-7.8812691914022515E-2</v>
      </c>
      <c r="F77" s="109">
        <f t="shared" si="27"/>
        <v>-0.14815406744446225</v>
      </c>
      <c r="G77" s="109">
        <f t="shared" si="27"/>
        <v>-0.2928369949545111</v>
      </c>
      <c r="H77" s="109">
        <f t="shared" si="27"/>
        <v>-1.0134338911147789E-2</v>
      </c>
      <c r="I77" s="109">
        <f t="shared" si="27"/>
        <v>0.56431054461181929</v>
      </c>
      <c r="J77" s="109">
        <f t="shared" si="27"/>
        <v>7.1321993434795505E-2</v>
      </c>
      <c r="K77" s="122">
        <f t="shared" si="27"/>
        <v>-0.16833078820627279</v>
      </c>
      <c r="L77" s="129">
        <f t="shared" si="27"/>
        <v>4.3138838414428893E-2</v>
      </c>
      <c r="M77" s="109">
        <f t="shared" si="27"/>
        <v>0.20830049908064097</v>
      </c>
      <c r="N77" s="109">
        <f t="shared" si="27"/>
        <v>0.55911650064963192</v>
      </c>
      <c r="O77" s="109">
        <f t="shared" si="27"/>
        <v>-0.24242424242424243</v>
      </c>
      <c r="P77" s="139">
        <f t="shared" si="27"/>
        <v>8.0909090909090899</v>
      </c>
      <c r="Q77" s="144">
        <f t="shared" si="27"/>
        <v>-0.10975894536946884</v>
      </c>
      <c r="R77" s="40"/>
      <c r="S77" s="48"/>
    </row>
    <row r="78" spans="2:20" ht="15" customHeight="1">
      <c r="B78" s="470" t="s">
        <v>75</v>
      </c>
      <c r="C78" s="185" t="s">
        <v>108</v>
      </c>
      <c r="D78" s="186">
        <v>1600</v>
      </c>
      <c r="E78" s="187">
        <v>2150</v>
      </c>
      <c r="F78" s="187">
        <v>11150</v>
      </c>
      <c r="G78" s="187">
        <v>8070</v>
      </c>
      <c r="H78" s="187">
        <v>520</v>
      </c>
      <c r="I78" s="187">
        <v>890</v>
      </c>
      <c r="J78" s="187">
        <v>7700</v>
      </c>
      <c r="K78" s="188">
        <v>3010</v>
      </c>
      <c r="L78" s="189">
        <v>2250</v>
      </c>
      <c r="M78" s="190">
        <v>840</v>
      </c>
      <c r="N78" s="190">
        <v>595</v>
      </c>
      <c r="O78" s="190">
        <v>40</v>
      </c>
      <c r="P78" s="191">
        <v>0</v>
      </c>
      <c r="Q78" s="192">
        <f>SUM(D78:P78)</f>
        <v>38815</v>
      </c>
      <c r="R78" s="40"/>
      <c r="S78" s="48"/>
      <c r="T78" s="54"/>
    </row>
    <row r="79" spans="2:20" ht="15" customHeight="1">
      <c r="B79" s="468"/>
      <c r="C79" s="147" t="s">
        <v>97</v>
      </c>
      <c r="D79" s="152">
        <v>1530</v>
      </c>
      <c r="E79" s="106">
        <v>1690</v>
      </c>
      <c r="F79" s="106">
        <v>10075</v>
      </c>
      <c r="G79" s="106">
        <v>8805</v>
      </c>
      <c r="H79" s="106">
        <v>415</v>
      </c>
      <c r="I79" s="106">
        <v>940</v>
      </c>
      <c r="J79" s="106">
        <v>5600</v>
      </c>
      <c r="K79" s="120">
        <v>2770</v>
      </c>
      <c r="L79" s="127">
        <v>2550</v>
      </c>
      <c r="M79" s="107">
        <v>705</v>
      </c>
      <c r="N79" s="107">
        <v>500</v>
      </c>
      <c r="O79" s="107">
        <v>20</v>
      </c>
      <c r="P79" s="137">
        <v>2</v>
      </c>
      <c r="Q79" s="142">
        <f>SUM(D79:P79)</f>
        <v>35602</v>
      </c>
      <c r="R79" s="40"/>
      <c r="S79" s="48"/>
      <c r="T79" s="54"/>
    </row>
    <row r="80" spans="2:20" ht="15" customHeight="1">
      <c r="B80" s="468"/>
      <c r="C80" s="148" t="s">
        <v>94</v>
      </c>
      <c r="D80" s="152">
        <v>1175</v>
      </c>
      <c r="E80" s="106">
        <v>1360</v>
      </c>
      <c r="F80" s="106">
        <v>9589</v>
      </c>
      <c r="G80" s="106">
        <v>8502</v>
      </c>
      <c r="H80" s="106">
        <v>445</v>
      </c>
      <c r="I80" s="106">
        <v>926</v>
      </c>
      <c r="J80" s="106">
        <v>5160</v>
      </c>
      <c r="K80" s="120">
        <v>3372</v>
      </c>
      <c r="L80" s="127">
        <v>2397</v>
      </c>
      <c r="M80" s="107">
        <v>737</v>
      </c>
      <c r="N80" s="107">
        <v>314</v>
      </c>
      <c r="O80" s="107">
        <v>15</v>
      </c>
      <c r="P80" s="137">
        <v>6.4</v>
      </c>
      <c r="Q80" s="142">
        <f>SUM(D80:P80)</f>
        <v>33998.400000000001</v>
      </c>
      <c r="R80" s="40"/>
      <c r="S80" s="48"/>
      <c r="T80" s="54"/>
    </row>
    <row r="81" spans="2:20" ht="15" customHeight="1">
      <c r="B81" s="468"/>
      <c r="C81" s="148" t="s">
        <v>95</v>
      </c>
      <c r="D81" s="152">
        <v>1278.5</v>
      </c>
      <c r="E81" s="106">
        <v>1537.5</v>
      </c>
      <c r="F81" s="106">
        <v>10740.5</v>
      </c>
      <c r="G81" s="106">
        <v>10169</v>
      </c>
      <c r="H81" s="106">
        <v>564.5</v>
      </c>
      <c r="I81" s="106">
        <v>944</v>
      </c>
      <c r="J81" s="106">
        <v>5915</v>
      </c>
      <c r="K81" s="120">
        <v>4387</v>
      </c>
      <c r="L81" s="127">
        <v>2352.5</v>
      </c>
      <c r="M81" s="107">
        <v>628</v>
      </c>
      <c r="N81" s="107">
        <v>272.5</v>
      </c>
      <c r="O81" s="107">
        <v>25.5</v>
      </c>
      <c r="P81" s="137">
        <v>3.2</v>
      </c>
      <c r="Q81" s="142">
        <f>SUM(D81:P81)</f>
        <v>38817.699999999997</v>
      </c>
      <c r="R81" s="40"/>
      <c r="S81" s="48"/>
      <c r="T81" s="54"/>
    </row>
    <row r="82" spans="2:20" ht="15" customHeight="1">
      <c r="B82" s="468"/>
      <c r="C82" s="149" t="s">
        <v>74</v>
      </c>
      <c r="D82" s="128">
        <f>D78/D79-1</f>
        <v>4.5751633986928164E-2</v>
      </c>
      <c r="E82" s="108">
        <f t="shared" ref="E82:P82" si="28">E78/E79-1</f>
        <v>0.27218934911242609</v>
      </c>
      <c r="F82" s="108">
        <f t="shared" si="28"/>
        <v>0.10669975186104219</v>
      </c>
      <c r="G82" s="108">
        <f t="shared" si="28"/>
        <v>-8.347529812606469E-2</v>
      </c>
      <c r="H82" s="108">
        <f t="shared" si="28"/>
        <v>0.25301204819277112</v>
      </c>
      <c r="I82" s="108">
        <f t="shared" si="28"/>
        <v>-5.3191489361702149E-2</v>
      </c>
      <c r="J82" s="108">
        <f t="shared" si="28"/>
        <v>0.375</v>
      </c>
      <c r="K82" s="121">
        <f t="shared" si="28"/>
        <v>8.6642599277978238E-2</v>
      </c>
      <c r="L82" s="128">
        <f t="shared" si="28"/>
        <v>-0.11764705882352944</v>
      </c>
      <c r="M82" s="108">
        <f t="shared" si="28"/>
        <v>0.1914893617021276</v>
      </c>
      <c r="N82" s="108">
        <f t="shared" si="28"/>
        <v>0.18999999999999995</v>
      </c>
      <c r="O82" s="108">
        <f t="shared" si="28"/>
        <v>1</v>
      </c>
      <c r="P82" s="138">
        <f t="shared" si="28"/>
        <v>-1</v>
      </c>
      <c r="Q82" s="143">
        <f>Q78/Q79-1</f>
        <v>9.0247738891073626E-2</v>
      </c>
      <c r="R82" s="40"/>
      <c r="S82" s="48"/>
      <c r="T82" s="54"/>
    </row>
    <row r="83" spans="2:20" ht="15" customHeight="1">
      <c r="B83" s="468"/>
      <c r="C83" s="149" t="s">
        <v>121</v>
      </c>
      <c r="D83" s="128">
        <f>D78/D80-1</f>
        <v>0.36170212765957444</v>
      </c>
      <c r="E83" s="108">
        <f t="shared" ref="E83:P83" si="29">E78/E80-1</f>
        <v>0.58088235294117641</v>
      </c>
      <c r="F83" s="108">
        <f t="shared" si="29"/>
        <v>0.16279069767441867</v>
      </c>
      <c r="G83" s="108">
        <f t="shared" si="29"/>
        <v>-5.0811573747353567E-2</v>
      </c>
      <c r="H83" s="108">
        <f t="shared" si="29"/>
        <v>0.1685393258426966</v>
      </c>
      <c r="I83" s="108">
        <f t="shared" si="29"/>
        <v>-3.8876889848812102E-2</v>
      </c>
      <c r="J83" s="108">
        <f t="shared" si="29"/>
        <v>0.49224806201550386</v>
      </c>
      <c r="K83" s="121">
        <f t="shared" si="29"/>
        <v>-0.10735468564650064</v>
      </c>
      <c r="L83" s="128">
        <f t="shared" si="29"/>
        <v>-6.1326658322903627E-2</v>
      </c>
      <c r="M83" s="108">
        <f t="shared" si="29"/>
        <v>0.13975576662143818</v>
      </c>
      <c r="N83" s="108">
        <f t="shared" si="29"/>
        <v>0.89490445859872603</v>
      </c>
      <c r="O83" s="108">
        <f t="shared" si="29"/>
        <v>1.6666666666666665</v>
      </c>
      <c r="P83" s="138">
        <f t="shared" si="29"/>
        <v>-1</v>
      </c>
      <c r="Q83" s="143">
        <f>Q78/Q80-1</f>
        <v>0.14167137277048325</v>
      </c>
      <c r="R83" s="40"/>
      <c r="S83" s="48"/>
    </row>
    <row r="84" spans="2:20" ht="15" customHeight="1" thickBot="1">
      <c r="B84" s="469"/>
      <c r="C84" s="150" t="s">
        <v>122</v>
      </c>
      <c r="D84" s="129">
        <f>D78/D81-1</f>
        <v>0.25146656237778653</v>
      </c>
      <c r="E84" s="109">
        <f t="shared" ref="E84:Q84" si="30">E78/E81-1</f>
        <v>0.39837398373983746</v>
      </c>
      <c r="F84" s="109">
        <f t="shared" si="30"/>
        <v>3.8126716633303914E-2</v>
      </c>
      <c r="G84" s="109">
        <f t="shared" si="30"/>
        <v>-0.20641164322942274</v>
      </c>
      <c r="H84" s="109">
        <f t="shared" si="30"/>
        <v>-7.8830823737821132E-2</v>
      </c>
      <c r="I84" s="109">
        <f t="shared" si="30"/>
        <v>-5.7203389830508433E-2</v>
      </c>
      <c r="J84" s="109">
        <f t="shared" si="30"/>
        <v>0.30177514792899407</v>
      </c>
      <c r="K84" s="122">
        <f t="shared" si="30"/>
        <v>-0.31388192386596758</v>
      </c>
      <c r="L84" s="129">
        <f t="shared" si="30"/>
        <v>-4.3570669500531345E-2</v>
      </c>
      <c r="M84" s="109">
        <f t="shared" si="30"/>
        <v>0.33757961783439483</v>
      </c>
      <c r="N84" s="109">
        <f t="shared" si="30"/>
        <v>1.1834862385321099</v>
      </c>
      <c r="O84" s="109">
        <f t="shared" si="30"/>
        <v>0.56862745098039214</v>
      </c>
      <c r="P84" s="139">
        <f t="shared" si="30"/>
        <v>-1</v>
      </c>
      <c r="Q84" s="144">
        <f t="shared" si="30"/>
        <v>-6.9555898468909305E-5</v>
      </c>
      <c r="R84" s="69"/>
      <c r="S84" s="48"/>
    </row>
    <row r="85" spans="2:20" ht="14.25" customHeight="1">
      <c r="B85" s="470" t="s">
        <v>65</v>
      </c>
      <c r="C85" s="185" t="s">
        <v>108</v>
      </c>
      <c r="D85" s="186">
        <v>4160</v>
      </c>
      <c r="E85" s="187">
        <v>690</v>
      </c>
      <c r="F85" s="187">
        <v>42960</v>
      </c>
      <c r="G85" s="187">
        <v>62270</v>
      </c>
      <c r="H85" s="187">
        <v>2730</v>
      </c>
      <c r="I85" s="187">
        <v>2780</v>
      </c>
      <c r="J85" s="187">
        <v>22680</v>
      </c>
      <c r="K85" s="188">
        <v>21350</v>
      </c>
      <c r="L85" s="189">
        <v>16540</v>
      </c>
      <c r="M85" s="190">
        <v>1990</v>
      </c>
      <c r="N85" s="190">
        <v>475</v>
      </c>
      <c r="O85" s="190">
        <v>10</v>
      </c>
      <c r="P85" s="191">
        <v>15</v>
      </c>
      <c r="Q85" s="192">
        <f>SUM(D85:P85)</f>
        <v>178650</v>
      </c>
      <c r="R85" s="69"/>
      <c r="S85" s="48"/>
      <c r="T85" s="54"/>
    </row>
    <row r="86" spans="2:20" ht="15" customHeight="1">
      <c r="B86" s="468"/>
      <c r="C86" s="147" t="s">
        <v>97</v>
      </c>
      <c r="D86" s="152">
        <v>3960</v>
      </c>
      <c r="E86" s="106">
        <v>730</v>
      </c>
      <c r="F86" s="106">
        <v>43300</v>
      </c>
      <c r="G86" s="106">
        <v>63450</v>
      </c>
      <c r="H86" s="106">
        <v>3100</v>
      </c>
      <c r="I86" s="106">
        <v>2910</v>
      </c>
      <c r="J86" s="106">
        <v>23960</v>
      </c>
      <c r="K86" s="120">
        <v>23640</v>
      </c>
      <c r="L86" s="127">
        <v>16680</v>
      </c>
      <c r="M86" s="107">
        <v>1660</v>
      </c>
      <c r="N86" s="107">
        <v>575</v>
      </c>
      <c r="O86" s="107">
        <v>15</v>
      </c>
      <c r="P86" s="137">
        <v>25</v>
      </c>
      <c r="Q86" s="142">
        <f>SUM(D86:P86)</f>
        <v>184005</v>
      </c>
      <c r="R86" s="40"/>
      <c r="S86" s="48"/>
      <c r="T86" s="54"/>
    </row>
    <row r="87" spans="2:20" ht="15" customHeight="1">
      <c r="B87" s="468"/>
      <c r="C87" s="148" t="s">
        <v>94</v>
      </c>
      <c r="D87" s="152">
        <v>4188</v>
      </c>
      <c r="E87" s="106">
        <v>620</v>
      </c>
      <c r="F87" s="106">
        <v>47789</v>
      </c>
      <c r="G87" s="106">
        <v>64963</v>
      </c>
      <c r="H87" s="106">
        <v>3221</v>
      </c>
      <c r="I87" s="106">
        <v>4233</v>
      </c>
      <c r="J87" s="106">
        <v>24842</v>
      </c>
      <c r="K87" s="120">
        <v>24905</v>
      </c>
      <c r="L87" s="127">
        <v>17642</v>
      </c>
      <c r="M87" s="107">
        <v>2219</v>
      </c>
      <c r="N87" s="107">
        <v>598</v>
      </c>
      <c r="O87" s="107">
        <v>12.4</v>
      </c>
      <c r="P87" s="137">
        <v>41</v>
      </c>
      <c r="Q87" s="142">
        <f>SUM(D87:P87)</f>
        <v>195273.4</v>
      </c>
      <c r="R87" s="40"/>
      <c r="S87" s="48"/>
      <c r="T87" s="54"/>
    </row>
    <row r="88" spans="2:20" ht="15" customHeight="1">
      <c r="B88" s="468"/>
      <c r="C88" s="148" t="s">
        <v>95</v>
      </c>
      <c r="D88" s="152">
        <v>4475</v>
      </c>
      <c r="E88" s="106">
        <v>497</v>
      </c>
      <c r="F88" s="106">
        <v>47902</v>
      </c>
      <c r="G88" s="106">
        <v>65579</v>
      </c>
      <c r="H88" s="106">
        <v>3405.5</v>
      </c>
      <c r="I88" s="106">
        <v>3740.5</v>
      </c>
      <c r="J88" s="106">
        <v>24766</v>
      </c>
      <c r="K88" s="120">
        <v>25470</v>
      </c>
      <c r="L88" s="127">
        <v>18776.5</v>
      </c>
      <c r="M88" s="107">
        <v>2988</v>
      </c>
      <c r="N88" s="107">
        <v>580</v>
      </c>
      <c r="O88" s="107">
        <v>20.2</v>
      </c>
      <c r="P88" s="137">
        <v>30.5</v>
      </c>
      <c r="Q88" s="142">
        <f>SUM(D88:P88)</f>
        <v>198230.2</v>
      </c>
      <c r="R88" s="40"/>
      <c r="S88" s="48"/>
      <c r="T88" s="54"/>
    </row>
    <row r="89" spans="2:20" ht="15" customHeight="1">
      <c r="B89" s="468"/>
      <c r="C89" s="149" t="s">
        <v>74</v>
      </c>
      <c r="D89" s="128">
        <f>D85/D86-1</f>
        <v>5.0505050505050608E-2</v>
      </c>
      <c r="E89" s="108">
        <f t="shared" ref="E89:P89" si="31">E85/E86-1</f>
        <v>-5.4794520547945202E-2</v>
      </c>
      <c r="F89" s="108">
        <f t="shared" si="31"/>
        <v>-7.8521939953810627E-3</v>
      </c>
      <c r="G89" s="108">
        <f t="shared" si="31"/>
        <v>-1.8597320724980326E-2</v>
      </c>
      <c r="H89" s="108">
        <f t="shared" si="31"/>
        <v>-0.11935483870967745</v>
      </c>
      <c r="I89" s="108">
        <f t="shared" si="31"/>
        <v>-4.4673539518900296E-2</v>
      </c>
      <c r="J89" s="108">
        <f t="shared" si="31"/>
        <v>-5.3422370617696169E-2</v>
      </c>
      <c r="K89" s="121">
        <f t="shared" si="31"/>
        <v>-9.6869712351945858E-2</v>
      </c>
      <c r="L89" s="128">
        <f t="shared" si="31"/>
        <v>-8.3932853717025857E-3</v>
      </c>
      <c r="M89" s="108">
        <f t="shared" si="31"/>
        <v>0.1987951807228916</v>
      </c>
      <c r="N89" s="108">
        <f t="shared" si="31"/>
        <v>-0.17391304347826086</v>
      </c>
      <c r="O89" s="108">
        <f t="shared" si="31"/>
        <v>-0.33333333333333337</v>
      </c>
      <c r="P89" s="138">
        <f t="shared" si="31"/>
        <v>-0.4</v>
      </c>
      <c r="Q89" s="143">
        <f>Q85/Q86-1</f>
        <v>-2.9102470041574957E-2</v>
      </c>
      <c r="R89" s="40"/>
      <c r="S89" s="48"/>
      <c r="T89" s="54"/>
    </row>
    <row r="90" spans="2:20" ht="15" customHeight="1">
      <c r="B90" s="468"/>
      <c r="C90" s="149" t="s">
        <v>121</v>
      </c>
      <c r="D90" s="128">
        <f>D85/D87-1</f>
        <v>-6.6857688634193169E-3</v>
      </c>
      <c r="E90" s="108">
        <f t="shared" ref="E90:P90" si="32">E85/E87-1</f>
        <v>0.11290322580645151</v>
      </c>
      <c r="F90" s="108">
        <f t="shared" si="32"/>
        <v>-0.10104835840883886</v>
      </c>
      <c r="G90" s="108">
        <f t="shared" si="32"/>
        <v>-4.1454366331604153E-2</v>
      </c>
      <c r="H90" s="108">
        <f t="shared" si="32"/>
        <v>-0.15243713132567527</v>
      </c>
      <c r="I90" s="108">
        <f t="shared" si="32"/>
        <v>-0.34325537443893217</v>
      </c>
      <c r="J90" s="108">
        <f t="shared" si="32"/>
        <v>-8.7030029788261798E-2</v>
      </c>
      <c r="K90" s="121">
        <f t="shared" si="32"/>
        <v>-0.14274242120056213</v>
      </c>
      <c r="L90" s="128">
        <f t="shared" si="32"/>
        <v>-6.2464573177644311E-2</v>
      </c>
      <c r="M90" s="108">
        <f t="shared" si="32"/>
        <v>-0.10319963947724198</v>
      </c>
      <c r="N90" s="108">
        <f t="shared" si="32"/>
        <v>-0.20568561872909696</v>
      </c>
      <c r="O90" s="108">
        <f t="shared" si="32"/>
        <v>-0.19354838709677424</v>
      </c>
      <c r="P90" s="138">
        <f t="shared" si="32"/>
        <v>-0.63414634146341464</v>
      </c>
      <c r="Q90" s="143">
        <f>Q85/Q87-1</f>
        <v>-8.5128850114762122E-2</v>
      </c>
      <c r="R90" s="40"/>
      <c r="S90" s="48"/>
    </row>
    <row r="91" spans="2:20" ht="15" customHeight="1" thickBot="1">
      <c r="B91" s="469"/>
      <c r="C91" s="150" t="s">
        <v>122</v>
      </c>
      <c r="D91" s="129">
        <f>D85/D88-1</f>
        <v>-7.0391061452513948E-2</v>
      </c>
      <c r="E91" s="109">
        <f t="shared" ref="E91:Q91" si="33">E85/E88-1</f>
        <v>0.38832997987927564</v>
      </c>
      <c r="F91" s="109">
        <f t="shared" si="33"/>
        <v>-0.10316896998037661</v>
      </c>
      <c r="G91" s="109">
        <f t="shared" si="33"/>
        <v>-5.0458225956479974E-2</v>
      </c>
      <c r="H91" s="109">
        <f t="shared" si="33"/>
        <v>-0.19835560123329909</v>
      </c>
      <c r="I91" s="109">
        <f t="shared" si="33"/>
        <v>-0.25678385242614621</v>
      </c>
      <c r="J91" s="109">
        <f t="shared" si="33"/>
        <v>-8.4228377614471439E-2</v>
      </c>
      <c r="K91" s="122">
        <f t="shared" si="33"/>
        <v>-0.16175893207695324</v>
      </c>
      <c r="L91" s="129">
        <f t="shared" si="33"/>
        <v>-0.11911165552685543</v>
      </c>
      <c r="M91" s="109">
        <f t="shared" si="33"/>
        <v>-0.3340026773761714</v>
      </c>
      <c r="N91" s="109">
        <f t="shared" si="33"/>
        <v>-0.18103448275862066</v>
      </c>
      <c r="O91" s="109">
        <f t="shared" si="33"/>
        <v>-0.50495049504950495</v>
      </c>
      <c r="P91" s="139">
        <f t="shared" si="33"/>
        <v>-0.50819672131147542</v>
      </c>
      <c r="Q91" s="144">
        <f t="shared" si="33"/>
        <v>-9.8775060510457036E-2</v>
      </c>
      <c r="R91" s="70"/>
      <c r="S91" s="48"/>
    </row>
    <row r="92" spans="2:20" ht="15" customHeight="1">
      <c r="B92" s="470" t="s">
        <v>66</v>
      </c>
      <c r="C92" s="185" t="s">
        <v>108</v>
      </c>
      <c r="D92" s="186">
        <v>1100</v>
      </c>
      <c r="E92" s="187">
        <v>60</v>
      </c>
      <c r="F92" s="187">
        <v>5230</v>
      </c>
      <c r="G92" s="187">
        <v>17030</v>
      </c>
      <c r="H92" s="187">
        <v>390</v>
      </c>
      <c r="I92" s="187">
        <v>4280</v>
      </c>
      <c r="J92" s="187">
        <v>1720</v>
      </c>
      <c r="K92" s="188">
        <v>2340</v>
      </c>
      <c r="L92" s="189">
        <v>1280</v>
      </c>
      <c r="M92" s="190">
        <v>25</v>
      </c>
      <c r="N92" s="190">
        <v>3</v>
      </c>
      <c r="O92" s="190">
        <v>0</v>
      </c>
      <c r="P92" s="191">
        <v>0</v>
      </c>
      <c r="Q92" s="192">
        <f>SUM(D92:P92)</f>
        <v>33458</v>
      </c>
      <c r="R92" s="69"/>
      <c r="S92" s="48"/>
      <c r="T92" s="54"/>
    </row>
    <row r="93" spans="2:20" ht="15" customHeight="1">
      <c r="B93" s="468"/>
      <c r="C93" s="147" t="s">
        <v>97</v>
      </c>
      <c r="D93" s="152">
        <v>920</v>
      </c>
      <c r="E93" s="106">
        <v>60</v>
      </c>
      <c r="F93" s="106">
        <v>5090</v>
      </c>
      <c r="G93" s="106">
        <v>19060</v>
      </c>
      <c r="H93" s="106">
        <v>400</v>
      </c>
      <c r="I93" s="106">
        <v>4100</v>
      </c>
      <c r="J93" s="106">
        <v>1640</v>
      </c>
      <c r="K93" s="120">
        <v>2580</v>
      </c>
      <c r="L93" s="127">
        <v>1135</v>
      </c>
      <c r="M93" s="107">
        <v>30</v>
      </c>
      <c r="N93" s="107">
        <v>2</v>
      </c>
      <c r="O93" s="107">
        <v>0</v>
      </c>
      <c r="P93" s="137">
        <v>0</v>
      </c>
      <c r="Q93" s="142">
        <f>SUM(D93:P93)</f>
        <v>35017</v>
      </c>
      <c r="R93" s="69"/>
      <c r="S93" s="48"/>
      <c r="T93" s="54"/>
    </row>
    <row r="94" spans="2:20" ht="15" customHeight="1">
      <c r="B94" s="468"/>
      <c r="C94" s="148" t="s">
        <v>94</v>
      </c>
      <c r="D94" s="152">
        <v>944</v>
      </c>
      <c r="E94" s="106">
        <v>67</v>
      </c>
      <c r="F94" s="106">
        <v>8980</v>
      </c>
      <c r="G94" s="106">
        <v>27109.599999999999</v>
      </c>
      <c r="H94" s="106">
        <v>581</v>
      </c>
      <c r="I94" s="106">
        <v>4742</v>
      </c>
      <c r="J94" s="106">
        <v>3066</v>
      </c>
      <c r="K94" s="120">
        <v>4570</v>
      </c>
      <c r="L94" s="127">
        <v>1316</v>
      </c>
      <c r="M94" s="107">
        <v>25.4</v>
      </c>
      <c r="N94" s="107">
        <v>14.4</v>
      </c>
      <c r="O94" s="107">
        <v>0</v>
      </c>
      <c r="P94" s="137">
        <v>0</v>
      </c>
      <c r="Q94" s="142">
        <f>SUM(D94:P94)</f>
        <v>51415.4</v>
      </c>
      <c r="R94" s="69"/>
      <c r="S94" s="48"/>
      <c r="T94" s="54"/>
    </row>
    <row r="95" spans="2:20" ht="15" customHeight="1">
      <c r="B95" s="468"/>
      <c r="C95" s="148" t="s">
        <v>95</v>
      </c>
      <c r="D95" s="152">
        <v>997</v>
      </c>
      <c r="E95" s="106">
        <v>70.900000000000006</v>
      </c>
      <c r="F95" s="106">
        <v>9765.5</v>
      </c>
      <c r="G95" s="106">
        <v>25584.799999999999</v>
      </c>
      <c r="H95" s="106">
        <v>632.5</v>
      </c>
      <c r="I95" s="106">
        <v>4261</v>
      </c>
      <c r="J95" s="106">
        <v>3725.5</v>
      </c>
      <c r="K95" s="120">
        <v>5557.5</v>
      </c>
      <c r="L95" s="127">
        <v>1140.5</v>
      </c>
      <c r="M95" s="107">
        <v>73.2</v>
      </c>
      <c r="N95" s="107">
        <v>15.2</v>
      </c>
      <c r="O95" s="107">
        <v>0</v>
      </c>
      <c r="P95" s="137">
        <v>4</v>
      </c>
      <c r="Q95" s="142">
        <f>SUM(D95:P95)</f>
        <v>51827.599999999991</v>
      </c>
      <c r="R95" s="69"/>
      <c r="S95" s="48"/>
      <c r="T95" s="54"/>
    </row>
    <row r="96" spans="2:20" ht="15" customHeight="1">
      <c r="B96" s="468"/>
      <c r="C96" s="149" t="s">
        <v>74</v>
      </c>
      <c r="D96" s="128">
        <f>D92/D93-1</f>
        <v>0.19565217391304346</v>
      </c>
      <c r="E96" s="108">
        <f t="shared" ref="E96:N96" si="34">E92/E93-1</f>
        <v>0</v>
      </c>
      <c r="F96" s="108">
        <f t="shared" si="34"/>
        <v>2.7504911591355707E-2</v>
      </c>
      <c r="G96" s="108">
        <f t="shared" si="34"/>
        <v>-0.10650577124868832</v>
      </c>
      <c r="H96" s="108">
        <f t="shared" si="34"/>
        <v>-2.5000000000000022E-2</v>
      </c>
      <c r="I96" s="108">
        <f t="shared" si="34"/>
        <v>4.3902439024390283E-2</v>
      </c>
      <c r="J96" s="108">
        <f t="shared" si="34"/>
        <v>4.8780487804878092E-2</v>
      </c>
      <c r="K96" s="121">
        <f t="shared" si="34"/>
        <v>-9.3023255813953543E-2</v>
      </c>
      <c r="L96" s="128">
        <f t="shared" si="34"/>
        <v>0.12775330396475781</v>
      </c>
      <c r="M96" s="108">
        <f t="shared" si="34"/>
        <v>-0.16666666666666663</v>
      </c>
      <c r="N96" s="108">
        <f t="shared" si="34"/>
        <v>0.5</v>
      </c>
      <c r="O96" s="450"/>
      <c r="P96" s="450"/>
      <c r="Q96" s="143">
        <f>Q92/Q93-1</f>
        <v>-4.4521232544192824E-2</v>
      </c>
      <c r="R96" s="40"/>
      <c r="S96" s="48"/>
      <c r="T96" s="54"/>
    </row>
    <row r="97" spans="2:19" ht="15" customHeight="1">
      <c r="B97" s="468"/>
      <c r="C97" s="149" t="s">
        <v>121</v>
      </c>
      <c r="D97" s="128">
        <f>D92/D94-1</f>
        <v>0.1652542372881356</v>
      </c>
      <c r="E97" s="108">
        <f t="shared" ref="E97:N97" si="35">E92/E94-1</f>
        <v>-0.10447761194029848</v>
      </c>
      <c r="F97" s="108">
        <f t="shared" si="35"/>
        <v>-0.41759465478841873</v>
      </c>
      <c r="G97" s="108">
        <f t="shared" si="35"/>
        <v>-0.37180924838433616</v>
      </c>
      <c r="H97" s="108">
        <f t="shared" si="35"/>
        <v>-0.32874354561101549</v>
      </c>
      <c r="I97" s="108">
        <f t="shared" si="35"/>
        <v>-9.7427245887811043E-2</v>
      </c>
      <c r="J97" s="108">
        <f t="shared" si="35"/>
        <v>-0.43900848010437055</v>
      </c>
      <c r="K97" s="121">
        <f t="shared" si="35"/>
        <v>-0.48796498905908092</v>
      </c>
      <c r="L97" s="128">
        <f t="shared" si="35"/>
        <v>-2.7355623100303927E-2</v>
      </c>
      <c r="M97" s="108">
        <f t="shared" si="35"/>
        <v>-1.5748031496062964E-2</v>
      </c>
      <c r="N97" s="108">
        <f t="shared" si="35"/>
        <v>-0.79166666666666674</v>
      </c>
      <c r="O97" s="450"/>
      <c r="P97" s="450"/>
      <c r="Q97" s="143">
        <f>Q92/Q94-1</f>
        <v>-0.34926111631923507</v>
      </c>
      <c r="R97" s="40"/>
      <c r="S97" s="48"/>
    </row>
    <row r="98" spans="2:19" ht="15" customHeight="1" thickBot="1">
      <c r="B98" s="471"/>
      <c r="C98" s="453" t="s">
        <v>122</v>
      </c>
      <c r="D98" s="130">
        <f>D92/D95-1</f>
        <v>0.10330992978936804</v>
      </c>
      <c r="E98" s="123">
        <f t="shared" ref="E98:Q98" si="36">E92/E95-1</f>
        <v>-0.15373765867418909</v>
      </c>
      <c r="F98" s="123">
        <f t="shared" si="36"/>
        <v>-0.464441144846654</v>
      </c>
      <c r="G98" s="123">
        <f t="shared" si="36"/>
        <v>-0.33437040742941115</v>
      </c>
      <c r="H98" s="123">
        <f t="shared" si="36"/>
        <v>-0.38339920948616601</v>
      </c>
      <c r="I98" s="123">
        <f t="shared" si="36"/>
        <v>4.4590471720253877E-3</v>
      </c>
      <c r="J98" s="123">
        <f t="shared" si="36"/>
        <v>-0.53831700442893571</v>
      </c>
      <c r="K98" s="124">
        <f t="shared" si="36"/>
        <v>-0.57894736842105265</v>
      </c>
      <c r="L98" s="130">
        <f t="shared" si="36"/>
        <v>0.12231477422183246</v>
      </c>
      <c r="M98" s="123">
        <f t="shared" si="36"/>
        <v>-0.65846994535519121</v>
      </c>
      <c r="N98" s="123">
        <f t="shared" si="36"/>
        <v>-0.80263157894736836</v>
      </c>
      <c r="O98" s="452"/>
      <c r="P98" s="140">
        <f t="shared" si="36"/>
        <v>-1</v>
      </c>
      <c r="Q98" s="145">
        <f t="shared" si="36"/>
        <v>-0.35443663221912636</v>
      </c>
      <c r="R98" s="40"/>
      <c r="S98" s="48"/>
    </row>
    <row r="99" spans="2:19" ht="16.5" customHeight="1">
      <c r="B99" s="35" t="s">
        <v>184</v>
      </c>
      <c r="C99" s="30"/>
      <c r="D99" s="31"/>
      <c r="E99" s="31"/>
      <c r="F99" s="31"/>
      <c r="G99" s="31"/>
      <c r="H99" s="31"/>
      <c r="I99" s="31"/>
      <c r="J99" s="31"/>
      <c r="K99" s="31"/>
      <c r="L99" s="32"/>
      <c r="M99" s="32"/>
      <c r="N99" s="32"/>
      <c r="O99" s="32"/>
      <c r="P99" s="32"/>
      <c r="Q99" s="73"/>
      <c r="S99" s="48"/>
    </row>
    <row r="100" spans="2:19" ht="15" customHeight="1">
      <c r="B100" s="35" t="s">
        <v>185</v>
      </c>
      <c r="S100" s="48"/>
    </row>
    <row r="101" spans="2:19" ht="13.5" customHeight="1">
      <c r="B101" s="34"/>
      <c r="S101" s="48"/>
    </row>
    <row r="102" spans="2:19" ht="15" customHeight="1">
      <c r="B102" s="35"/>
      <c r="Q102" s="74"/>
      <c r="S102" s="48"/>
    </row>
    <row r="103" spans="2:19" ht="13.5" customHeight="1">
      <c r="B103" s="35"/>
      <c r="C103" s="35"/>
      <c r="S103" s="48"/>
    </row>
    <row r="104" spans="2:19" ht="15" customHeight="1">
      <c r="S104" s="48"/>
    </row>
    <row r="105" spans="2:19" ht="13.5" customHeight="1">
      <c r="S105" s="48"/>
    </row>
    <row r="106" spans="2:19" ht="13.5" customHeight="1">
      <c r="S106" s="48"/>
    </row>
    <row r="107" spans="2:19" ht="13.5" customHeight="1">
      <c r="S107" s="48"/>
    </row>
    <row r="108" spans="2:19" ht="13.5" customHeight="1">
      <c r="S108" s="48"/>
    </row>
    <row r="109" spans="2:19" ht="13.5" customHeight="1">
      <c r="S109" s="48"/>
    </row>
    <row r="110" spans="2:19" ht="14.25" customHeight="1">
      <c r="S110" s="48"/>
    </row>
    <row r="111" spans="2:19" ht="19.5" customHeight="1">
      <c r="S111" s="48"/>
    </row>
    <row r="112" spans="2:19">
      <c r="S112" s="48"/>
    </row>
    <row r="113" spans="19:19">
      <c r="S113" s="48"/>
    </row>
    <row r="114" spans="19:19">
      <c r="S114" s="48"/>
    </row>
    <row r="115" spans="19:19">
      <c r="S115" s="48"/>
    </row>
    <row r="116" spans="19:19">
      <c r="S116" s="48"/>
    </row>
    <row r="117" spans="19:19">
      <c r="S117" s="48"/>
    </row>
    <row r="118" spans="19:19">
      <c r="S118" s="48"/>
    </row>
    <row r="119" spans="19:19">
      <c r="S119" s="48"/>
    </row>
    <row r="120" spans="19:19">
      <c r="S120" s="48"/>
    </row>
    <row r="121" spans="19:19">
      <c r="S121" s="48"/>
    </row>
    <row r="122" spans="19:19" ht="13.4" customHeight="1">
      <c r="S122" s="48"/>
    </row>
    <row r="123" spans="19:19">
      <c r="S123" s="48"/>
    </row>
    <row r="124" spans="19:19">
      <c r="S124" s="48"/>
    </row>
    <row r="125" spans="19:19">
      <c r="S125" s="48"/>
    </row>
    <row r="126" spans="19:19">
      <c r="S126" s="48"/>
    </row>
    <row r="127" spans="19:19">
      <c r="S127" s="48"/>
    </row>
    <row r="128" spans="19:19">
      <c r="S128" s="48"/>
    </row>
    <row r="129" spans="19:19">
      <c r="S129" s="48"/>
    </row>
    <row r="130" spans="19:19">
      <c r="S130" s="48"/>
    </row>
    <row r="131" spans="19:19">
      <c r="S131" s="48"/>
    </row>
    <row r="132" spans="19:19">
      <c r="S132" s="48"/>
    </row>
    <row r="133" spans="19:19">
      <c r="S133" s="48"/>
    </row>
    <row r="134" spans="19:19">
      <c r="S134" s="48"/>
    </row>
    <row r="135" spans="19:19">
      <c r="S135" s="48"/>
    </row>
    <row r="136" spans="19:19">
      <c r="S136" s="48"/>
    </row>
    <row r="137" spans="19:19">
      <c r="S137" s="48"/>
    </row>
    <row r="138" spans="19:19">
      <c r="S138" s="48"/>
    </row>
    <row r="139" spans="19:19">
      <c r="S139" s="48"/>
    </row>
  </sheetData>
  <sheetProtection selectLockedCells="1" selectUnlockedCells="1"/>
  <mergeCells count="13">
    <mergeCell ref="B92:B98"/>
    <mergeCell ref="B50:B56"/>
    <mergeCell ref="B57:B63"/>
    <mergeCell ref="B64:B70"/>
    <mergeCell ref="B71:B77"/>
    <mergeCell ref="B78:B84"/>
    <mergeCell ref="B85:B91"/>
    <mergeCell ref="B43:B49"/>
    <mergeCell ref="A1:M1"/>
    <mergeCell ref="B15:B21"/>
    <mergeCell ref="B22:B28"/>
    <mergeCell ref="B29:B35"/>
    <mergeCell ref="B36:B42"/>
  </mergeCells>
  <hyperlinks>
    <hyperlink ref="T1" location="'Sommaire&amp;Méthodo'!A1" display="Retour Sommaire" xr:uid="{00000000-0004-0000-0300-000000000000}"/>
  </hyperlinks>
  <pageMargins left="0.74803149606299213" right="0.74803149606299213" top="0.98425196850393704" bottom="0.98425196850393704" header="0.51181102362204722" footer="0.51181102362204722"/>
  <pageSetup paperSize="9" firstPageNumber="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U139"/>
  <sheetViews>
    <sheetView showGridLines="0" topLeftCell="A76" zoomScale="110" zoomScaleNormal="110" workbookViewId="0">
      <selection activeCell="B99" sqref="B99"/>
    </sheetView>
  </sheetViews>
  <sheetFormatPr baseColWidth="10" defaultColWidth="11.54296875" defaultRowHeight="13"/>
  <cols>
    <col min="1" max="1" width="11.54296875" style="21"/>
    <col min="2" max="2" width="17" style="21" customWidth="1"/>
    <col min="3" max="3" width="24" style="21" customWidth="1"/>
    <col min="4" max="5" width="9.453125" style="21" customWidth="1"/>
    <col min="6" max="7" width="10.453125" style="21" customWidth="1"/>
    <col min="8" max="8" width="9.453125" style="21" customWidth="1"/>
    <col min="9" max="9" width="9.54296875" style="21" customWidth="1"/>
    <col min="10" max="10" width="9.453125" style="21" customWidth="1"/>
    <col min="11" max="11" width="10.453125" style="21" customWidth="1"/>
    <col min="12" max="12" width="9.453125" style="21" customWidth="1"/>
    <col min="13" max="13" width="10" style="21" customWidth="1"/>
    <col min="14" max="15" width="9.54296875" style="21" customWidth="1"/>
    <col min="16" max="16" width="14" style="21" customWidth="1"/>
    <col min="17" max="17" width="13.81640625" style="72" customWidth="1"/>
    <col min="18" max="18" width="13.26953125" style="21" customWidth="1"/>
    <col min="19" max="16384" width="11.54296875" style="21"/>
  </cols>
  <sheetData>
    <row r="1" spans="1:21" ht="16">
      <c r="A1" s="459"/>
      <c r="B1" s="459"/>
      <c r="C1" s="459"/>
      <c r="D1" s="459"/>
      <c r="E1" s="459"/>
      <c r="F1" s="459"/>
      <c r="G1" s="459"/>
      <c r="H1" s="459"/>
      <c r="I1" s="459"/>
      <c r="J1" s="459"/>
      <c r="K1" s="459"/>
      <c r="L1" s="459"/>
      <c r="M1" s="459"/>
      <c r="N1" s="75"/>
      <c r="Q1" s="65"/>
      <c r="T1" s="105" t="s">
        <v>91</v>
      </c>
    </row>
    <row r="2" spans="1:21">
      <c r="A2" s="22"/>
      <c r="Q2" s="65"/>
    </row>
    <row r="3" spans="1:21">
      <c r="A3" s="22"/>
      <c r="Q3" s="65"/>
    </row>
    <row r="4" spans="1:21">
      <c r="A4" s="22"/>
      <c r="Q4" s="65"/>
    </row>
    <row r="5" spans="1:21">
      <c r="A5" s="22"/>
      <c r="Q5" s="65"/>
    </row>
    <row r="6" spans="1:21">
      <c r="A6" s="22"/>
      <c r="Q6" s="65"/>
    </row>
    <row r="7" spans="1:21" ht="14">
      <c r="B7" s="23"/>
      <c r="C7" s="23"/>
      <c r="D7" s="23"/>
      <c r="E7" s="24"/>
      <c r="F7" s="24"/>
      <c r="G7" s="24"/>
      <c r="H7" s="24"/>
      <c r="I7" s="24"/>
      <c r="J7" s="24"/>
      <c r="K7" s="25"/>
      <c r="L7" s="25"/>
      <c r="M7" s="25"/>
      <c r="N7" s="25"/>
      <c r="O7" s="25"/>
      <c r="P7" s="25"/>
      <c r="Q7" s="25"/>
      <c r="R7" s="25"/>
      <c r="U7" s="26"/>
    </row>
    <row r="8" spans="1:21" ht="26.25" customHeight="1">
      <c r="B8" s="23"/>
      <c r="C8" s="23"/>
      <c r="D8" s="23"/>
      <c r="E8" s="24"/>
      <c r="F8" s="24"/>
      <c r="G8" s="24"/>
      <c r="H8" s="24"/>
      <c r="I8" s="24"/>
      <c r="J8" s="24"/>
      <c r="K8" s="25"/>
      <c r="L8" s="25"/>
      <c r="M8" s="25"/>
      <c r="N8" s="25"/>
      <c r="O8" s="25"/>
      <c r="P8" s="25"/>
      <c r="Q8" s="25"/>
      <c r="R8" s="25"/>
      <c r="U8" s="26"/>
    </row>
    <row r="9" spans="1:21" ht="14.5" thickBot="1">
      <c r="C9" s="23"/>
      <c r="D9" s="23"/>
      <c r="E9" s="23"/>
      <c r="F9" s="24"/>
      <c r="G9" s="24"/>
      <c r="H9" s="24"/>
      <c r="I9" s="24"/>
      <c r="J9" s="24"/>
      <c r="K9" s="24"/>
      <c r="L9" s="25"/>
      <c r="M9" s="25"/>
      <c r="N9" s="25"/>
      <c r="O9" s="25"/>
      <c r="P9" s="25"/>
      <c r="Q9" s="20"/>
      <c r="R9" s="40"/>
    </row>
    <row r="10" spans="1:21" ht="17.5">
      <c r="B10" s="456" t="s">
        <v>182</v>
      </c>
      <c r="C10" s="110"/>
      <c r="D10" s="110"/>
      <c r="E10" s="110"/>
      <c r="F10" s="110"/>
      <c r="G10" s="110"/>
      <c r="H10" s="81"/>
      <c r="I10" s="81"/>
      <c r="J10" s="81"/>
      <c r="K10" s="81"/>
      <c r="L10" s="82"/>
      <c r="M10" s="82"/>
      <c r="N10" s="82"/>
      <c r="O10" s="82"/>
      <c r="P10" s="82"/>
      <c r="Q10" s="111"/>
      <c r="R10" s="40"/>
    </row>
    <row r="11" spans="1:21" ht="14.25" customHeight="1">
      <c r="B11" s="171" t="s">
        <v>76</v>
      </c>
      <c r="C11" s="38"/>
      <c r="D11" s="38"/>
      <c r="E11" s="38"/>
      <c r="F11" s="38"/>
      <c r="G11" s="38"/>
      <c r="H11" s="71"/>
      <c r="I11" s="21" t="s">
        <v>109</v>
      </c>
      <c r="J11" s="39"/>
      <c r="K11" s="39"/>
      <c r="L11" s="40"/>
      <c r="M11" s="40"/>
      <c r="N11" s="40"/>
      <c r="O11" s="40"/>
      <c r="P11" s="40"/>
      <c r="Q11" s="112"/>
      <c r="R11" s="40"/>
    </row>
    <row r="12" spans="1:21" ht="14.25" customHeight="1">
      <c r="B12" s="113"/>
      <c r="C12" s="38"/>
      <c r="D12" s="38"/>
      <c r="E12" s="38"/>
      <c r="F12" s="38"/>
      <c r="G12" s="38"/>
      <c r="H12" s="174"/>
      <c r="I12" s="39" t="s">
        <v>101</v>
      </c>
      <c r="J12" s="39"/>
      <c r="K12" s="39"/>
      <c r="L12" s="40"/>
      <c r="M12" s="40"/>
      <c r="N12" s="40"/>
      <c r="O12" s="40"/>
      <c r="P12" s="40"/>
      <c r="Q12" s="112"/>
      <c r="R12" s="40"/>
    </row>
    <row r="13" spans="1:21" ht="12" customHeight="1" thickBot="1">
      <c r="B13" s="114" t="s">
        <v>80</v>
      </c>
      <c r="C13" s="115"/>
      <c r="D13" s="115"/>
      <c r="E13" s="115"/>
      <c r="F13" s="115"/>
      <c r="G13" s="115"/>
      <c r="H13" s="88"/>
      <c r="I13" s="88"/>
      <c r="J13" s="88"/>
      <c r="K13" s="88"/>
      <c r="L13" s="89"/>
      <c r="M13" s="89"/>
      <c r="N13" s="89"/>
      <c r="O13" s="89"/>
      <c r="P13" s="89"/>
      <c r="Q13" s="116"/>
      <c r="R13" s="68"/>
    </row>
    <row r="14" spans="1:21" ht="53.5" customHeight="1" thickBot="1">
      <c r="B14" s="154" t="s">
        <v>56</v>
      </c>
      <c r="C14" s="155" t="s">
        <v>98</v>
      </c>
      <c r="D14" s="153" t="s">
        <v>39</v>
      </c>
      <c r="E14" s="118" t="s">
        <v>40</v>
      </c>
      <c r="F14" s="118" t="s">
        <v>41</v>
      </c>
      <c r="G14" s="118" t="s">
        <v>42</v>
      </c>
      <c r="H14" s="118" t="s">
        <v>43</v>
      </c>
      <c r="I14" s="118" t="s">
        <v>44</v>
      </c>
      <c r="J14" s="118" t="s">
        <v>45</v>
      </c>
      <c r="K14" s="119" t="s">
        <v>46</v>
      </c>
      <c r="L14" s="237" t="s">
        <v>47</v>
      </c>
      <c r="M14" s="238" t="s">
        <v>48</v>
      </c>
      <c r="N14" s="238" t="s">
        <v>49</v>
      </c>
      <c r="O14" s="238" t="s">
        <v>81</v>
      </c>
      <c r="P14" s="239" t="s">
        <v>82</v>
      </c>
      <c r="Q14" s="141" t="s">
        <v>50</v>
      </c>
      <c r="R14" s="131"/>
      <c r="S14" s="48"/>
    </row>
    <row r="15" spans="1:21" ht="16.5" customHeight="1">
      <c r="B15" s="467" t="s">
        <v>107</v>
      </c>
      <c r="C15" s="146" t="s">
        <v>108</v>
      </c>
      <c r="D15" s="286">
        <v>53</v>
      </c>
      <c r="E15" s="287">
        <v>46.9</v>
      </c>
      <c r="F15" s="287">
        <v>56.93</v>
      </c>
      <c r="G15" s="287">
        <v>53.93</v>
      </c>
      <c r="H15" s="287">
        <v>52.94</v>
      </c>
      <c r="I15" s="287">
        <v>45.91</v>
      </c>
      <c r="J15" s="287">
        <v>53.98</v>
      </c>
      <c r="K15" s="288">
        <v>54</v>
      </c>
      <c r="L15" s="286">
        <v>56.94</v>
      </c>
      <c r="M15" s="287">
        <v>40.86</v>
      </c>
      <c r="N15" s="287">
        <v>49.84</v>
      </c>
      <c r="O15" s="287">
        <v>34.950000000000003</v>
      </c>
      <c r="P15" s="288">
        <v>49.35</v>
      </c>
      <c r="Q15" s="270">
        <f>SUMPRODUCT(D15:P15,GC_Estim1_11_SURF_24_25!D15:P15)/GC_Estim1_11_SURF_24_25!Q15</f>
        <v>53.633840681173133</v>
      </c>
      <c r="R15" s="132"/>
      <c r="S15" s="48"/>
      <c r="T15" s="54"/>
    </row>
    <row r="16" spans="1:21" ht="16.5" customHeight="1">
      <c r="B16" s="468"/>
      <c r="C16" s="147" t="s">
        <v>130</v>
      </c>
      <c r="D16" s="152">
        <v>53</v>
      </c>
      <c r="E16" s="106">
        <v>40.96</v>
      </c>
      <c r="F16" s="106">
        <v>54.97</v>
      </c>
      <c r="G16" s="106">
        <v>46.83</v>
      </c>
      <c r="H16" s="106">
        <v>45.93</v>
      </c>
      <c r="I16" s="106">
        <v>47.97</v>
      </c>
      <c r="J16" s="106">
        <v>51.97</v>
      </c>
      <c r="K16" s="120">
        <v>44.95</v>
      </c>
      <c r="L16" s="127">
        <v>47.92</v>
      </c>
      <c r="M16" s="107">
        <v>48.88</v>
      </c>
      <c r="N16" s="107">
        <v>42.84</v>
      </c>
      <c r="O16" s="107">
        <v>37.89</v>
      </c>
      <c r="P16" s="137">
        <v>17.89</v>
      </c>
      <c r="Q16" s="142">
        <f>SUMPRODUCT(D16:P16,GC_Estim1_11_SURF_24_25!D16:P16)/GC_Estim1_11_SURF_24_25!Q16</f>
        <v>48.775561243398492</v>
      </c>
      <c r="R16" s="133"/>
      <c r="S16" s="48"/>
      <c r="T16" s="54"/>
    </row>
    <row r="17" spans="2:20" ht="16.5" customHeight="1">
      <c r="B17" s="468"/>
      <c r="C17" s="148" t="s">
        <v>94</v>
      </c>
      <c r="D17" s="152">
        <v>46.254760479041913</v>
      </c>
      <c r="E17" s="106">
        <v>43.06091886264722</v>
      </c>
      <c r="F17" s="106">
        <v>50.256752533595247</v>
      </c>
      <c r="G17" s="106">
        <v>46.971995604111449</v>
      </c>
      <c r="H17" s="106">
        <v>46.448659031779613</v>
      </c>
      <c r="I17" s="106">
        <v>50.182752499299262</v>
      </c>
      <c r="J17" s="106">
        <v>49.936681919761625</v>
      </c>
      <c r="K17" s="120">
        <v>48.051198824141835</v>
      </c>
      <c r="L17" s="127">
        <v>45.880407444668009</v>
      </c>
      <c r="M17" s="107">
        <v>39.814123006833711</v>
      </c>
      <c r="N17" s="107">
        <v>33.221509763917226</v>
      </c>
      <c r="O17" s="107">
        <v>38.866375121477162</v>
      </c>
      <c r="P17" s="137">
        <v>28.904411764705884</v>
      </c>
      <c r="Q17" s="142">
        <f>SUMPRODUCT(D17:P17,GC_Estim1_11_SURF_24_25!D17:P17)/GC_Estim1_11_SURF_24_25!Q17</f>
        <v>47.577446783184236</v>
      </c>
      <c r="R17" s="133"/>
      <c r="S17" s="48"/>
      <c r="T17" s="54"/>
    </row>
    <row r="18" spans="2:20" ht="16.5" customHeight="1">
      <c r="B18" s="468"/>
      <c r="C18" s="148" t="s">
        <v>95</v>
      </c>
      <c r="D18" s="152">
        <v>48.804051012753192</v>
      </c>
      <c r="E18" s="106">
        <v>45.059754735185088</v>
      </c>
      <c r="F18" s="106">
        <v>53.532406800402079</v>
      </c>
      <c r="G18" s="106">
        <v>52.102364923183153</v>
      </c>
      <c r="H18" s="106">
        <v>47.426415053390052</v>
      </c>
      <c r="I18" s="106">
        <v>53.601121361539683</v>
      </c>
      <c r="J18" s="106">
        <v>52.252016809224237</v>
      </c>
      <c r="K18" s="120">
        <v>53.102129185649581</v>
      </c>
      <c r="L18" s="127">
        <v>48.294634564549547</v>
      </c>
      <c r="M18" s="107">
        <v>41.74164859002169</v>
      </c>
      <c r="N18" s="107">
        <v>33.484166810866931</v>
      </c>
      <c r="O18" s="107">
        <v>40.576483107209363</v>
      </c>
      <c r="P18" s="137">
        <v>30.956427015250544</v>
      </c>
      <c r="Q18" s="142">
        <f>SUMPRODUCT(D18:P18,GC_Estim1_11_SURF_24_25!D18:P18)/GC_Estim1_11_SURF_24_25!Q18</f>
        <v>51.368623696063665</v>
      </c>
      <c r="R18" s="133"/>
      <c r="S18" s="48"/>
      <c r="T18" s="54"/>
    </row>
    <row r="19" spans="2:20" ht="16.5" customHeight="1">
      <c r="B19" s="468"/>
      <c r="C19" s="149" t="s">
        <v>74</v>
      </c>
      <c r="D19" s="271">
        <f>D15/D16-1</f>
        <v>0</v>
      </c>
      <c r="E19" s="272">
        <v>0.14501953125</v>
      </c>
      <c r="F19" s="272">
        <v>3.5655812261233377E-2</v>
      </c>
      <c r="G19" s="272">
        <v>0.1516122143924834</v>
      </c>
      <c r="H19" s="272">
        <v>0.15262355758763335</v>
      </c>
      <c r="I19" s="272">
        <v>-4.2943506358140593E-2</v>
      </c>
      <c r="J19" s="272">
        <v>3.8676159322686088E-2</v>
      </c>
      <c r="K19" s="273">
        <v>0.20133481646273621</v>
      </c>
      <c r="L19" s="271">
        <v>0.18823038397328862</v>
      </c>
      <c r="M19" s="272">
        <v>-0.16407528641571201</v>
      </c>
      <c r="N19" s="272">
        <v>0.1633986928104576</v>
      </c>
      <c r="O19" s="272">
        <v>-7.7593032462391021E-2</v>
      </c>
      <c r="P19" s="274">
        <v>1.7585243152599217</v>
      </c>
      <c r="Q19" s="275">
        <f>Q15/Q16-1</f>
        <v>9.9604788011171896E-2</v>
      </c>
      <c r="R19" s="449"/>
      <c r="S19" s="48"/>
    </row>
    <row r="20" spans="2:20" ht="16.5" customHeight="1">
      <c r="B20" s="468"/>
      <c r="C20" s="149" t="s">
        <v>121</v>
      </c>
      <c r="D20" s="271">
        <f>D15/D17-1</f>
        <v>0.14582800669812923</v>
      </c>
      <c r="E20" s="272">
        <v>8.915464970913467E-2</v>
      </c>
      <c r="F20" s="272">
        <v>0.13278310137416605</v>
      </c>
      <c r="G20" s="272">
        <v>0.14813090877662272</v>
      </c>
      <c r="H20" s="272">
        <v>0.13975303277924755</v>
      </c>
      <c r="I20" s="272">
        <v>-8.5143844976596883E-2</v>
      </c>
      <c r="J20" s="272">
        <v>8.0968897507751603E-2</v>
      </c>
      <c r="K20" s="273">
        <v>0.12380130613659901</v>
      </c>
      <c r="L20" s="271">
        <v>0.24105262292341045</v>
      </c>
      <c r="M20" s="272">
        <v>2.6268994873672735E-2</v>
      </c>
      <c r="N20" s="272">
        <v>0.50023284173955784</v>
      </c>
      <c r="O20" s="272">
        <v>-0.10076512433270401</v>
      </c>
      <c r="P20" s="274">
        <v>0.70735181887560405</v>
      </c>
      <c r="Q20" s="275">
        <f>Q15/Q17-1</f>
        <v>0.12729547942302499</v>
      </c>
      <c r="R20" s="449"/>
      <c r="S20" s="48"/>
    </row>
    <row r="21" spans="2:20" ht="16.5" customHeight="1" thickBot="1">
      <c r="B21" s="469"/>
      <c r="C21" s="150" t="s">
        <v>122</v>
      </c>
      <c r="D21" s="276">
        <f>D15/D18-1</f>
        <v>8.5975424174324022E-2</v>
      </c>
      <c r="E21" s="277">
        <v>4.0840108332368397E-2</v>
      </c>
      <c r="F21" s="277">
        <v>6.3467970201041002E-2</v>
      </c>
      <c r="G21" s="277">
        <v>3.5077775826709789E-2</v>
      </c>
      <c r="H21" s="277">
        <v>0.11625557066464021</v>
      </c>
      <c r="I21" s="277">
        <v>-0.1434880682749724</v>
      </c>
      <c r="J21" s="277">
        <v>3.3070172144450405E-2</v>
      </c>
      <c r="K21" s="278">
        <v>1.690837689787128E-2</v>
      </c>
      <c r="L21" s="276">
        <v>0.17901295896328295</v>
      </c>
      <c r="M21" s="277">
        <v>-2.1121556522145757E-2</v>
      </c>
      <c r="N21" s="277">
        <v>0.48846469083486221</v>
      </c>
      <c r="O21" s="277">
        <v>-0.13866364643636853</v>
      </c>
      <c r="P21" s="279">
        <v>0.59417622633542133</v>
      </c>
      <c r="Q21" s="280">
        <f>Q15/Q18-1</f>
        <v>4.4097287840769051E-2</v>
      </c>
      <c r="R21" s="448"/>
      <c r="S21" s="48"/>
    </row>
    <row r="22" spans="2:20" ht="15.65" customHeight="1">
      <c r="B22" s="470" t="s">
        <v>106</v>
      </c>
      <c r="C22" s="146" t="s">
        <v>108</v>
      </c>
      <c r="D22" s="286">
        <v>44.26</v>
      </c>
      <c r="E22" s="287">
        <v>41.74</v>
      </c>
      <c r="F22" s="287">
        <v>49.74</v>
      </c>
      <c r="G22" s="287">
        <v>57.8</v>
      </c>
      <c r="H22" s="287">
        <v>39.75</v>
      </c>
      <c r="I22" s="287"/>
      <c r="J22" s="287">
        <v>51.17</v>
      </c>
      <c r="K22" s="288">
        <v>50</v>
      </c>
      <c r="L22" s="286">
        <v>46.83</v>
      </c>
      <c r="M22" s="287">
        <v>40.9</v>
      </c>
      <c r="N22" s="287">
        <v>44.96</v>
      </c>
      <c r="O22" s="287">
        <v>28</v>
      </c>
      <c r="P22" s="288">
        <v>50</v>
      </c>
      <c r="Q22" s="270">
        <f>SUMPRODUCT(D22:P22,GC_Estim1_11_SURF_24_25!D22:P22)/GC_Estim1_11_SURF_24_25!Q22</f>
        <v>48.634357262103507</v>
      </c>
      <c r="R22" s="132"/>
      <c r="S22" s="48"/>
      <c r="T22" s="54"/>
    </row>
    <row r="23" spans="2:20" ht="15.65" customHeight="1">
      <c r="B23" s="468"/>
      <c r="C23" s="147" t="s">
        <v>130</v>
      </c>
      <c r="D23" s="152">
        <v>49.81</v>
      </c>
      <c r="E23" s="106">
        <v>40.03</v>
      </c>
      <c r="F23" s="106">
        <v>50.94</v>
      </c>
      <c r="G23" s="106">
        <v>50.56</v>
      </c>
      <c r="H23" s="106">
        <v>38.28</v>
      </c>
      <c r="I23" s="106">
        <v>49</v>
      </c>
      <c r="J23" s="106">
        <v>47.63</v>
      </c>
      <c r="K23" s="120">
        <v>45.89</v>
      </c>
      <c r="L23" s="127">
        <v>42.78</v>
      </c>
      <c r="M23" s="107">
        <v>45.93</v>
      </c>
      <c r="N23" s="107">
        <v>41.94</v>
      </c>
      <c r="O23" s="107">
        <v>31</v>
      </c>
      <c r="P23" s="137">
        <v>10</v>
      </c>
      <c r="Q23" s="142">
        <f>SUMPRODUCT(D23:P23,GC_Estim1_11_SURF_24_25!D23:P23)/GC_Estim1_11_SURF_24_25!Q23</f>
        <v>47.335724689980978</v>
      </c>
      <c r="R23" s="133"/>
      <c r="S23" s="48"/>
      <c r="T23" s="54"/>
    </row>
    <row r="24" spans="2:20" ht="17.149999999999999" customHeight="1">
      <c r="B24" s="468"/>
      <c r="C24" s="148" t="s">
        <v>94</v>
      </c>
      <c r="D24" s="152">
        <v>45.452141057934512</v>
      </c>
      <c r="E24" s="106">
        <v>39.834801762114537</v>
      </c>
      <c r="F24" s="106">
        <v>49.075707211179704</v>
      </c>
      <c r="G24" s="106">
        <v>49.661703731624577</v>
      </c>
      <c r="H24" s="106">
        <v>41.176923076923075</v>
      </c>
      <c r="I24" s="106">
        <v>46.25</v>
      </c>
      <c r="J24" s="106">
        <v>46.021189699525287</v>
      </c>
      <c r="K24" s="120">
        <v>46.123028391167189</v>
      </c>
      <c r="L24" s="127">
        <v>39.905275779376495</v>
      </c>
      <c r="M24" s="107">
        <v>41.197174738841404</v>
      </c>
      <c r="N24" s="107">
        <v>32.072992700729927</v>
      </c>
      <c r="O24" s="107">
        <v>30.7</v>
      </c>
      <c r="P24" s="137">
        <v>27.767790262172284</v>
      </c>
      <c r="Q24" s="142">
        <f>SUMPRODUCT(D24:P24,GC_Estim1_11_SURF_24_25!D24:P24)/GC_Estim1_11_SURF_24_25!Q24</f>
        <v>44.6129774182928</v>
      </c>
      <c r="R24" s="133"/>
      <c r="S24" s="48"/>
    </row>
    <row r="25" spans="2:20" ht="17.149999999999999" customHeight="1">
      <c r="B25" s="468"/>
      <c r="C25" s="148" t="s">
        <v>95</v>
      </c>
      <c r="D25" s="152">
        <v>47.580527752502277</v>
      </c>
      <c r="E25" s="106">
        <v>42.419463087248324</v>
      </c>
      <c r="F25" s="106">
        <v>52.20515346825951</v>
      </c>
      <c r="G25" s="106">
        <v>51.393937056464054</v>
      </c>
      <c r="H25" s="106">
        <v>43.955607476635514</v>
      </c>
      <c r="I25" s="106">
        <v>48.280701754385966</v>
      </c>
      <c r="J25" s="106">
        <v>49.245313169081015</v>
      </c>
      <c r="K25" s="120">
        <v>51.210978088999319</v>
      </c>
      <c r="L25" s="127">
        <v>42.751969928439337</v>
      </c>
      <c r="M25" s="107">
        <v>39.993135560675881</v>
      </c>
      <c r="N25" s="107">
        <v>31.378410129225948</v>
      </c>
      <c r="O25" s="107">
        <v>33.161290322580648</v>
      </c>
      <c r="P25" s="137">
        <v>35.277353689567427</v>
      </c>
      <c r="Q25" s="142">
        <f>SUMPRODUCT(D25:P25,GC_Estim1_11_SURF_24_25!D25:P25)/GC_Estim1_11_SURF_24_25!Q25</f>
        <v>46.747111564709314</v>
      </c>
      <c r="R25" s="133"/>
      <c r="S25" s="48"/>
    </row>
    <row r="26" spans="2:20" ht="17.149999999999999" customHeight="1">
      <c r="B26" s="468"/>
      <c r="C26" s="149" t="s">
        <v>74</v>
      </c>
      <c r="D26" s="271">
        <v>-0.11142340895402536</v>
      </c>
      <c r="E26" s="272">
        <v>4.2717961528853321E-2</v>
      </c>
      <c r="F26" s="272">
        <v>-2.3557126030624209E-2</v>
      </c>
      <c r="G26" s="272">
        <v>0.14319620253164556</v>
      </c>
      <c r="H26" s="272">
        <v>3.8401253918495248E-2</v>
      </c>
      <c r="I26" s="450"/>
      <c r="J26" s="272">
        <v>7.4322905731681654E-2</v>
      </c>
      <c r="K26" s="273">
        <v>8.9561996077576866E-2</v>
      </c>
      <c r="L26" s="271">
        <v>9.4670406732117796E-2</v>
      </c>
      <c r="M26" s="272">
        <v>-0.10951447855432184</v>
      </c>
      <c r="N26" s="272">
        <v>7.2007629947544283E-2</v>
      </c>
      <c r="O26" s="272">
        <v>-9.6774193548387122E-2</v>
      </c>
      <c r="P26" s="274">
        <v>4</v>
      </c>
      <c r="Q26" s="275">
        <f>Q22/Q23-1</f>
        <v>2.743451337499847E-2</v>
      </c>
      <c r="R26" s="449"/>
      <c r="S26" s="48"/>
    </row>
    <row r="27" spans="2:20" ht="17.149999999999999" customHeight="1">
      <c r="B27" s="468"/>
      <c r="C27" s="149" t="s">
        <v>121</v>
      </c>
      <c r="D27" s="271">
        <v>-2.622849067582933E-2</v>
      </c>
      <c r="E27" s="272">
        <v>4.7827481338125644E-2</v>
      </c>
      <c r="F27" s="272">
        <v>1.3536081832947522E-2</v>
      </c>
      <c r="G27" s="272">
        <v>0.16387468928483329</v>
      </c>
      <c r="H27" s="272">
        <v>-3.4653465346534573E-2</v>
      </c>
      <c r="I27" s="450"/>
      <c r="J27" s="272">
        <v>0.11187912207597339</v>
      </c>
      <c r="K27" s="273">
        <v>8.4057178031598401E-2</v>
      </c>
      <c r="L27" s="271">
        <v>0.1735290405937322</v>
      </c>
      <c r="M27" s="272">
        <v>-7.2134737570055396E-3</v>
      </c>
      <c r="N27" s="272">
        <v>0.40180245789713243</v>
      </c>
      <c r="O27" s="272">
        <v>-8.794788273615628E-2</v>
      </c>
      <c r="P27" s="274">
        <v>0.8006474237928245</v>
      </c>
      <c r="Q27" s="275">
        <f>Q22/Q24-1</f>
        <v>9.0139239219703127E-2</v>
      </c>
      <c r="R27" s="449"/>
      <c r="S27" s="48"/>
    </row>
    <row r="28" spans="2:20" ht="13.5" customHeight="1" thickBot="1">
      <c r="B28" s="469"/>
      <c r="C28" s="150" t="s">
        <v>122</v>
      </c>
      <c r="D28" s="281">
        <v>-6.9787535139890333E-2</v>
      </c>
      <c r="E28" s="282">
        <v>-1.6017720117079359E-2</v>
      </c>
      <c r="F28" s="282">
        <v>-4.7220500362254669E-2</v>
      </c>
      <c r="G28" s="282">
        <v>0.12464627756573532</v>
      </c>
      <c r="H28" s="282">
        <v>-9.5678520172221337E-2</v>
      </c>
      <c r="I28" s="450"/>
      <c r="J28" s="282">
        <v>3.9083655013233187E-2</v>
      </c>
      <c r="K28" s="283">
        <v>-2.3646845543445094E-2</v>
      </c>
      <c r="L28" s="281">
        <v>9.5388120790379949E-2</v>
      </c>
      <c r="M28" s="282">
        <v>2.267550234835336E-2</v>
      </c>
      <c r="N28" s="282">
        <v>0.43283231415616297</v>
      </c>
      <c r="O28" s="282">
        <v>-0.15564202334630362</v>
      </c>
      <c r="P28" s="284">
        <v>0.41733987305251019</v>
      </c>
      <c r="Q28" s="285">
        <f>Q22/Q25-1</f>
        <v>4.0371386257347375E-2</v>
      </c>
      <c r="R28" s="448"/>
      <c r="S28" s="48"/>
    </row>
    <row r="29" spans="2:20" ht="15" customHeight="1">
      <c r="B29" s="470" t="s">
        <v>58</v>
      </c>
      <c r="C29" s="146" t="s">
        <v>108</v>
      </c>
      <c r="D29" s="286">
        <v>56</v>
      </c>
      <c r="E29" s="287">
        <v>49</v>
      </c>
      <c r="F29" s="287">
        <v>54</v>
      </c>
      <c r="G29" s="287">
        <v>51</v>
      </c>
      <c r="H29" s="287">
        <v>56</v>
      </c>
      <c r="I29" s="287">
        <v>47</v>
      </c>
      <c r="J29" s="287">
        <v>49</v>
      </c>
      <c r="K29" s="288">
        <v>51</v>
      </c>
      <c r="L29" s="286">
        <v>48</v>
      </c>
      <c r="M29" s="287">
        <v>38</v>
      </c>
      <c r="N29" s="287">
        <v>47</v>
      </c>
      <c r="O29" s="287">
        <v>33</v>
      </c>
      <c r="P29" s="288">
        <v>32</v>
      </c>
      <c r="Q29" s="270">
        <f>SUMPRODUCT(D29:P29,GC_Estim1_11_SURF_24_25!D29:P29)/GC_Estim1_11_SURF_24_25!Q29</f>
        <v>49.674685686653774</v>
      </c>
      <c r="R29" s="132"/>
      <c r="S29" s="48"/>
      <c r="T29" s="54"/>
    </row>
    <row r="30" spans="2:20" ht="15" customHeight="1">
      <c r="B30" s="468"/>
      <c r="C30" s="147" t="s">
        <v>97</v>
      </c>
      <c r="D30" s="152">
        <v>55</v>
      </c>
      <c r="E30" s="106">
        <v>48</v>
      </c>
      <c r="F30" s="106">
        <v>47</v>
      </c>
      <c r="G30" s="106">
        <v>40</v>
      </c>
      <c r="H30" s="106">
        <v>44</v>
      </c>
      <c r="I30" s="106">
        <v>44</v>
      </c>
      <c r="J30" s="106">
        <v>44</v>
      </c>
      <c r="K30" s="120">
        <v>37</v>
      </c>
      <c r="L30" s="127">
        <v>40</v>
      </c>
      <c r="M30" s="107">
        <v>46</v>
      </c>
      <c r="N30" s="107">
        <v>48</v>
      </c>
      <c r="O30" s="107">
        <v>40</v>
      </c>
      <c r="P30" s="137">
        <v>14</v>
      </c>
      <c r="Q30" s="142">
        <f>SUMPRODUCT(D30:P30,GC_Estim1_11_SURF_24_25!D30:P30)/GC_Estim1_11_SURF_24_25!Q30</f>
        <v>44.385318378731235</v>
      </c>
      <c r="R30" s="133"/>
      <c r="S30" s="48"/>
      <c r="T30" s="54"/>
    </row>
    <row r="31" spans="2:20" ht="15" customHeight="1">
      <c r="B31" s="468"/>
      <c r="C31" s="148" t="s">
        <v>94</v>
      </c>
      <c r="D31" s="152">
        <v>48.879368658399095</v>
      </c>
      <c r="E31" s="106">
        <v>44.684432741635263</v>
      </c>
      <c r="F31" s="106">
        <v>45.183968005564253</v>
      </c>
      <c r="G31" s="106">
        <v>42.514563875257245</v>
      </c>
      <c r="H31" s="106">
        <v>43.837401002101181</v>
      </c>
      <c r="I31" s="106">
        <v>50.377760252365931</v>
      </c>
      <c r="J31" s="106">
        <v>45.690822752142047</v>
      </c>
      <c r="K31" s="120">
        <v>43.769977092036115</v>
      </c>
      <c r="L31" s="127">
        <v>43.261899939234354</v>
      </c>
      <c r="M31" s="107">
        <v>39.399411187438666</v>
      </c>
      <c r="N31" s="107">
        <v>36.420640104506859</v>
      </c>
      <c r="O31" s="107">
        <v>39.017592592592592</v>
      </c>
      <c r="P31" s="137">
        <v>25.862745098039216</v>
      </c>
      <c r="Q31" s="142">
        <f>SUMPRODUCT(D31:P31,GC_Estim1_11_SURF_24_25!D31:P31)/GC_Estim1_11_SURF_24_25!Q31</f>
        <v>44.209553009520732</v>
      </c>
      <c r="R31" s="133"/>
      <c r="S31" s="48"/>
      <c r="T31" s="54"/>
    </row>
    <row r="32" spans="2:20" ht="15" customHeight="1">
      <c r="B32" s="468"/>
      <c r="C32" s="148" t="s">
        <v>95</v>
      </c>
      <c r="D32" s="152">
        <v>47.685165975103736</v>
      </c>
      <c r="E32" s="106">
        <v>47.252336033736547</v>
      </c>
      <c r="F32" s="106">
        <v>49.048183708685457</v>
      </c>
      <c r="G32" s="106">
        <v>48.169816083663903</v>
      </c>
      <c r="H32" s="106">
        <v>45.79130247886517</v>
      </c>
      <c r="I32" s="106">
        <v>52.440363186132892</v>
      </c>
      <c r="J32" s="106">
        <v>49.268450277637555</v>
      </c>
      <c r="K32" s="120">
        <v>48.856504438322624</v>
      </c>
      <c r="L32" s="127">
        <v>47.470654167515796</v>
      </c>
      <c r="M32" s="107">
        <v>40.191961191961191</v>
      </c>
      <c r="N32" s="107">
        <v>36.082827561585148</v>
      </c>
      <c r="O32" s="107">
        <v>38.977125693160815</v>
      </c>
      <c r="P32" s="137">
        <v>28.585106382978722</v>
      </c>
      <c r="Q32" s="142">
        <f>SUMPRODUCT(D32:P32,GC_Estim1_11_SURF_24_25!D32:P32)/GC_Estim1_11_SURF_24_25!Q32</f>
        <v>47.599037495208201</v>
      </c>
      <c r="R32" s="133"/>
      <c r="S32" s="48"/>
      <c r="T32" s="54"/>
    </row>
    <row r="33" spans="2:20" ht="15" customHeight="1">
      <c r="B33" s="468"/>
      <c r="C33" s="149" t="s">
        <v>74</v>
      </c>
      <c r="D33" s="128">
        <v>1.8181818181818077E-2</v>
      </c>
      <c r="E33" s="108">
        <v>2.0833333333333259E-2</v>
      </c>
      <c r="F33" s="108">
        <v>0.14893617021276606</v>
      </c>
      <c r="G33" s="108">
        <v>0.27499999999999991</v>
      </c>
      <c r="H33" s="108">
        <v>0.27272727272727271</v>
      </c>
      <c r="I33" s="108">
        <v>6.8181818181818121E-2</v>
      </c>
      <c r="J33" s="108">
        <v>0.11363636363636354</v>
      </c>
      <c r="K33" s="121">
        <v>0.37837837837837829</v>
      </c>
      <c r="L33" s="128">
        <v>0.19999999999999996</v>
      </c>
      <c r="M33" s="108">
        <v>-0.17391304347826086</v>
      </c>
      <c r="N33" s="108">
        <v>-2.083333333333337E-2</v>
      </c>
      <c r="O33" s="108">
        <v>-0.17500000000000004</v>
      </c>
      <c r="P33" s="138">
        <v>1.2857142857142856</v>
      </c>
      <c r="Q33" s="143">
        <f>Q29/Q30-1</f>
        <v>0.11916929969476397</v>
      </c>
      <c r="R33" s="125"/>
      <c r="S33" s="48"/>
      <c r="T33" s="54"/>
    </row>
    <row r="34" spans="2:20" ht="15" customHeight="1">
      <c r="B34" s="468"/>
      <c r="C34" s="149" t="s">
        <v>121</v>
      </c>
      <c r="D34" s="128">
        <v>0.14567764553925655</v>
      </c>
      <c r="E34" s="108">
        <v>9.657876342119609E-2</v>
      </c>
      <c r="F34" s="108">
        <v>0.1951141606985487</v>
      </c>
      <c r="G34" s="108">
        <v>0.19958892556536689</v>
      </c>
      <c r="H34" s="108">
        <v>0.27744799463170389</v>
      </c>
      <c r="I34" s="108">
        <v>-6.7048638832793217E-2</v>
      </c>
      <c r="J34" s="108">
        <v>7.2425424812531114E-2</v>
      </c>
      <c r="K34" s="121">
        <v>0.16518224107728341</v>
      </c>
      <c r="L34" s="128">
        <v>0.10952131245786201</v>
      </c>
      <c r="M34" s="108">
        <v>-3.5518581249377346E-2</v>
      </c>
      <c r="N34" s="108">
        <v>0.29047704447632716</v>
      </c>
      <c r="O34" s="108">
        <v>-0.15422767507534585</v>
      </c>
      <c r="P34" s="138">
        <v>0.23730098559514778</v>
      </c>
      <c r="Q34" s="143">
        <f>Q29/Q31-1</f>
        <v>0.12361881776900341</v>
      </c>
      <c r="R34" s="59"/>
      <c r="S34" s="48"/>
    </row>
    <row r="35" spans="2:20" ht="15" customHeight="1" thickBot="1">
      <c r="B35" s="469"/>
      <c r="C35" s="150" t="s">
        <v>122</v>
      </c>
      <c r="D35" s="193">
        <v>0.17436940513612575</v>
      </c>
      <c r="E35" s="194">
        <v>3.6985768598100321E-2</v>
      </c>
      <c r="F35" s="194">
        <v>0.1009581989972379</v>
      </c>
      <c r="G35" s="194">
        <v>5.8754301893544358E-2</v>
      </c>
      <c r="H35" s="194">
        <v>0.22293966252317499</v>
      </c>
      <c r="I35" s="194">
        <v>-0.10374381212469408</v>
      </c>
      <c r="J35" s="194">
        <v>-5.4487258301161301E-3</v>
      </c>
      <c r="K35" s="195">
        <v>4.3873289469232635E-2</v>
      </c>
      <c r="L35" s="193">
        <v>1.1151011962384771E-2</v>
      </c>
      <c r="M35" s="194">
        <v>-5.4537303653637181E-2</v>
      </c>
      <c r="N35" s="194">
        <v>0.30255867336842512</v>
      </c>
      <c r="O35" s="194">
        <v>-0.15334957585673392</v>
      </c>
      <c r="P35" s="196">
        <v>0.11946408634164496</v>
      </c>
      <c r="Q35" s="197">
        <f>Q29/Q32-1</f>
        <v>4.3606936204424906E-2</v>
      </c>
      <c r="R35" s="134"/>
      <c r="S35" s="48"/>
    </row>
    <row r="36" spans="2:20" ht="18.649999999999999" customHeight="1">
      <c r="B36" s="470" t="s">
        <v>59</v>
      </c>
      <c r="C36" s="146" t="s">
        <v>108</v>
      </c>
      <c r="D36" s="286">
        <v>38</v>
      </c>
      <c r="E36" s="287">
        <v>33</v>
      </c>
      <c r="F36" s="287">
        <v>38</v>
      </c>
      <c r="G36" s="287">
        <v>34</v>
      </c>
      <c r="H36" s="287">
        <v>38</v>
      </c>
      <c r="I36" s="287">
        <v>51</v>
      </c>
      <c r="J36" s="287">
        <v>28</v>
      </c>
      <c r="K36" s="288">
        <v>45</v>
      </c>
      <c r="L36" s="286">
        <v>43</v>
      </c>
      <c r="M36" s="287">
        <v>35</v>
      </c>
      <c r="N36" s="287">
        <v>42</v>
      </c>
      <c r="O36" s="287">
        <v>27</v>
      </c>
      <c r="P36" s="288">
        <v>24</v>
      </c>
      <c r="Q36" s="270">
        <f>SUMPRODUCT(D36:P36,GC_Estim1_11_SURF_24_25!D36:P36)/GC_Estim1_11_SURF_24_25!Q36</f>
        <v>35.962305025996535</v>
      </c>
      <c r="R36" s="132"/>
      <c r="S36" s="48"/>
      <c r="T36" s="54"/>
    </row>
    <row r="37" spans="2:20" ht="14">
      <c r="B37" s="468"/>
      <c r="C37" s="147" t="s">
        <v>97</v>
      </c>
      <c r="D37" s="152">
        <v>39</v>
      </c>
      <c r="E37" s="106">
        <v>33</v>
      </c>
      <c r="F37" s="106">
        <v>39</v>
      </c>
      <c r="G37" s="106">
        <v>32</v>
      </c>
      <c r="H37" s="106">
        <v>40</v>
      </c>
      <c r="I37" s="106">
        <v>32</v>
      </c>
      <c r="J37" s="106">
        <v>33</v>
      </c>
      <c r="K37" s="120">
        <v>30</v>
      </c>
      <c r="L37" s="127">
        <v>34</v>
      </c>
      <c r="M37" s="107">
        <v>41</v>
      </c>
      <c r="N37" s="107">
        <v>41</v>
      </c>
      <c r="O37" s="107">
        <v>30</v>
      </c>
      <c r="P37" s="137">
        <v>12</v>
      </c>
      <c r="Q37" s="142">
        <f>SUMPRODUCT(D37:P37,GC_Estim1_11_SURF_24_25!D37:P37)/GC_Estim1_11_SURF_24_25!Q37</f>
        <v>34.365432098765432</v>
      </c>
      <c r="R37" s="133"/>
      <c r="S37" s="48"/>
      <c r="T37" s="54"/>
    </row>
    <row r="38" spans="2:20" ht="14">
      <c r="B38" s="468"/>
      <c r="C38" s="148" t="s">
        <v>94</v>
      </c>
      <c r="D38" s="152">
        <v>38.225806451612904</v>
      </c>
      <c r="E38" s="106">
        <v>32.531409168081495</v>
      </c>
      <c r="F38" s="106">
        <v>38.176443629697523</v>
      </c>
      <c r="G38" s="106">
        <v>34.032173342087987</v>
      </c>
      <c r="H38" s="106">
        <v>38.493397358943575</v>
      </c>
      <c r="I38" s="106">
        <v>39.686956521739127</v>
      </c>
      <c r="J38" s="106">
        <v>34.697916666666664</v>
      </c>
      <c r="K38" s="120">
        <v>34.493127147766323</v>
      </c>
      <c r="L38" s="127">
        <v>35.813465783664462</v>
      </c>
      <c r="M38" s="107">
        <v>34.762214983713356</v>
      </c>
      <c r="N38" s="107">
        <v>30.347328244274809</v>
      </c>
      <c r="O38" s="107">
        <v>33.211829436038514</v>
      </c>
      <c r="P38" s="137">
        <v>20</v>
      </c>
      <c r="Q38" s="142">
        <f>SUMPRODUCT(D38:P38,GC_Estim1_11_SURF_24_25!D38:P38)/GC_Estim1_11_SURF_24_25!Q38</f>
        <v>35.161354108993116</v>
      </c>
      <c r="R38" s="133"/>
      <c r="S38" s="48"/>
      <c r="T38" s="54"/>
    </row>
    <row r="39" spans="2:20" ht="14">
      <c r="B39" s="468"/>
      <c r="C39" s="148" t="s">
        <v>95</v>
      </c>
      <c r="D39" s="152">
        <v>39.398891966759003</v>
      </c>
      <c r="E39" s="106">
        <v>35.639048400328136</v>
      </c>
      <c r="F39" s="106">
        <v>39.563145618127294</v>
      </c>
      <c r="G39" s="106">
        <v>37.418471056120197</v>
      </c>
      <c r="H39" s="106">
        <v>39.485422740524783</v>
      </c>
      <c r="I39" s="106">
        <v>40.476190476190474</v>
      </c>
      <c r="J39" s="106">
        <v>37.288374433819826</v>
      </c>
      <c r="K39" s="120">
        <v>36.461388708630757</v>
      </c>
      <c r="L39" s="127">
        <v>38.571193415637858</v>
      </c>
      <c r="M39" s="107">
        <v>35.938447814451379</v>
      </c>
      <c r="N39" s="107">
        <v>30.863930885529157</v>
      </c>
      <c r="O39" s="107">
        <v>33.634296250768287</v>
      </c>
      <c r="P39" s="137">
        <v>24.38</v>
      </c>
      <c r="Q39" s="142">
        <f>SUMPRODUCT(D39:P39,GC_Estim1_11_SURF_24_25!D39:P39)/GC_Estim1_11_SURF_24_25!Q39</f>
        <v>37.129427175172552</v>
      </c>
      <c r="R39" s="133"/>
      <c r="S39" s="48"/>
      <c r="T39" s="54"/>
    </row>
    <row r="40" spans="2:20" ht="14">
      <c r="B40" s="468"/>
      <c r="C40" s="149" t="s">
        <v>74</v>
      </c>
      <c r="D40" s="271">
        <v>-2.5641025641025661E-2</v>
      </c>
      <c r="E40" s="272">
        <v>0</v>
      </c>
      <c r="F40" s="272">
        <v>-2.5641025641025661E-2</v>
      </c>
      <c r="G40" s="272">
        <v>6.25E-2</v>
      </c>
      <c r="H40" s="272">
        <v>-5.0000000000000044E-2</v>
      </c>
      <c r="I40" s="272">
        <v>0.59375</v>
      </c>
      <c r="J40" s="272">
        <v>-0.15151515151515149</v>
      </c>
      <c r="K40" s="273">
        <v>0.5</v>
      </c>
      <c r="L40" s="271">
        <v>0.26470588235294112</v>
      </c>
      <c r="M40" s="272">
        <v>-0.14634146341463417</v>
      </c>
      <c r="N40" s="272">
        <v>2.4390243902439046E-2</v>
      </c>
      <c r="O40" s="272">
        <v>-9.9999999999999978E-2</v>
      </c>
      <c r="P40" s="274">
        <v>1</v>
      </c>
      <c r="Q40" s="275">
        <f>Q36/Q37-1</f>
        <v>4.6467418848153308E-2</v>
      </c>
      <c r="R40" s="134"/>
      <c r="S40" s="48"/>
      <c r="T40" s="54"/>
    </row>
    <row r="41" spans="2:20" ht="22" customHeight="1">
      <c r="B41" s="468"/>
      <c r="C41" s="149" t="s">
        <v>121</v>
      </c>
      <c r="D41" s="271">
        <v>-5.9071729957805852E-3</v>
      </c>
      <c r="E41" s="272">
        <v>1.4404258650383639E-2</v>
      </c>
      <c r="F41" s="272">
        <v>-4.6217932557831576E-3</v>
      </c>
      <c r="G41" s="272">
        <v>-9.4538017788592388E-4</v>
      </c>
      <c r="H41" s="272">
        <v>-1.2817714018400039E-2</v>
      </c>
      <c r="I41" s="272">
        <v>0.28505696757230514</v>
      </c>
      <c r="J41" s="272">
        <v>-0.19303512458721095</v>
      </c>
      <c r="K41" s="273">
        <v>0.30460772104607714</v>
      </c>
      <c r="L41" s="271">
        <v>0.20066570098930558</v>
      </c>
      <c r="M41" s="272">
        <v>6.840329835082315E-3</v>
      </c>
      <c r="N41" s="272">
        <v>0.38397685825682304</v>
      </c>
      <c r="O41" s="272">
        <v>-0.18703665355145993</v>
      </c>
      <c r="P41" s="274">
        <v>0.19999999999999996</v>
      </c>
      <c r="Q41" s="275">
        <f>Q36/Q38-1</f>
        <v>2.2779296682392536E-2</v>
      </c>
      <c r="R41" s="125"/>
      <c r="S41" s="48"/>
    </row>
    <row r="42" spans="2:20" ht="17.5" customHeight="1" thickBot="1">
      <c r="B42" s="469"/>
      <c r="C42" s="150" t="s">
        <v>122</v>
      </c>
      <c r="D42" s="281">
        <v>-3.5505870772692072E-2</v>
      </c>
      <c r="E42" s="282">
        <v>-7.4049350888500065E-2</v>
      </c>
      <c r="F42" s="282">
        <v>-3.9510144951949489E-2</v>
      </c>
      <c r="G42" s="282">
        <v>-9.135784973664951E-2</v>
      </c>
      <c r="H42" s="282">
        <v>-3.7619522280060602E-2</v>
      </c>
      <c r="I42" s="282">
        <v>0.26</v>
      </c>
      <c r="J42" s="282">
        <v>-0.24909571883604165</v>
      </c>
      <c r="K42" s="283">
        <v>0.23418228415825726</v>
      </c>
      <c r="L42" s="281">
        <v>0.11482161147149195</v>
      </c>
      <c r="M42" s="282">
        <v>-2.6112641795119962E-2</v>
      </c>
      <c r="N42" s="282">
        <v>0.36081175647305819</v>
      </c>
      <c r="O42" s="282">
        <v>-0.19724795789704519</v>
      </c>
      <c r="P42" s="284">
        <v>-1.5586546349466768E-2</v>
      </c>
      <c r="Q42" s="285">
        <f>Q36/Q39-1</f>
        <v>-3.1433885141013973E-2</v>
      </c>
      <c r="R42" s="135"/>
      <c r="S42" s="48"/>
    </row>
    <row r="43" spans="2:20" ht="17.149999999999999" customHeight="1">
      <c r="B43" s="464" t="s">
        <v>61</v>
      </c>
      <c r="C43" s="146" t="s">
        <v>108</v>
      </c>
      <c r="D43" s="286">
        <v>100</v>
      </c>
      <c r="E43" s="287">
        <v>80</v>
      </c>
      <c r="F43" s="287">
        <v>110</v>
      </c>
      <c r="G43" s="287">
        <v>95</v>
      </c>
      <c r="H43" s="287">
        <v>89.97</v>
      </c>
      <c r="I43" s="287">
        <v>100</v>
      </c>
      <c r="J43" s="287">
        <v>110</v>
      </c>
      <c r="K43" s="288">
        <v>86</v>
      </c>
      <c r="L43" s="286">
        <v>75</v>
      </c>
      <c r="M43" s="287">
        <v>75</v>
      </c>
      <c r="N43" s="287">
        <v>60</v>
      </c>
      <c r="O43" s="287">
        <v>60</v>
      </c>
      <c r="P43" s="288">
        <v>52</v>
      </c>
      <c r="Q43" s="270">
        <f>SUMPRODUCT(D43:P43,GC_Estim1_11_SURF_24_25!D43:P43)/GC_Estim1_11_SURF_24_25!Q43</f>
        <v>97.866345024704756</v>
      </c>
      <c r="R43" s="132"/>
      <c r="S43" s="48"/>
      <c r="T43" s="54"/>
    </row>
    <row r="44" spans="2:20" ht="17.149999999999999" customHeight="1">
      <c r="B44" s="465"/>
      <c r="C44" s="147" t="s">
        <v>97</v>
      </c>
      <c r="D44" s="152">
        <v>115.02</v>
      </c>
      <c r="E44" s="106">
        <v>95</v>
      </c>
      <c r="F44" s="106">
        <v>120</v>
      </c>
      <c r="G44" s="106">
        <v>103</v>
      </c>
      <c r="H44" s="106">
        <v>89.01</v>
      </c>
      <c r="I44" s="106">
        <v>121</v>
      </c>
      <c r="J44" s="106">
        <v>114.99</v>
      </c>
      <c r="K44" s="120">
        <v>106</v>
      </c>
      <c r="L44" s="127">
        <v>80</v>
      </c>
      <c r="M44" s="107">
        <v>80</v>
      </c>
      <c r="N44" s="107">
        <v>70</v>
      </c>
      <c r="O44" s="107"/>
      <c r="P44" s="137">
        <v>65</v>
      </c>
      <c r="Q44" s="142">
        <f>SUMPRODUCT(D44:P44,GC_Estim1_11_SURF_24_25!D44:P44)/GC_Estim1_11_SURF_24_25!Q44</f>
        <v>110.06388442472941</v>
      </c>
      <c r="R44" s="133"/>
      <c r="S44" s="48"/>
      <c r="T44" s="54"/>
    </row>
    <row r="45" spans="2:20" ht="17.149999999999999" customHeight="1">
      <c r="B45" s="465"/>
      <c r="C45" s="148" t="s">
        <v>94</v>
      </c>
      <c r="D45" s="152">
        <v>97.874318507890962</v>
      </c>
      <c r="E45" s="106">
        <v>94.508255563531947</v>
      </c>
      <c r="F45" s="106">
        <v>108.65955460728097</v>
      </c>
      <c r="G45" s="106">
        <v>99.858489032157735</v>
      </c>
      <c r="H45" s="106">
        <v>89.973783385220386</v>
      </c>
      <c r="I45" s="106">
        <v>114.78147878368868</v>
      </c>
      <c r="J45" s="106">
        <v>101.13171699360811</v>
      </c>
      <c r="K45" s="120">
        <v>108.69600969794929</v>
      </c>
      <c r="L45" s="127">
        <v>81.088213491475173</v>
      </c>
      <c r="M45" s="107">
        <v>78.353474320241688</v>
      </c>
      <c r="N45" s="107">
        <v>68.959064327485379</v>
      </c>
      <c r="O45" s="107"/>
      <c r="P45" s="137">
        <v>65.49704142011835</v>
      </c>
      <c r="Q45" s="142">
        <f>SUMPRODUCT(D45:P45,GC_Estim1_11_SURF_24_25!D45:P45)/GC_Estim1_11_SURF_24_25!Q45</f>
        <v>105.29887083195769</v>
      </c>
      <c r="R45" s="133"/>
      <c r="S45" s="48"/>
      <c r="T45" s="54"/>
    </row>
    <row r="46" spans="2:20" ht="17.149999999999999" customHeight="1">
      <c r="B46" s="465"/>
      <c r="C46" s="148" t="s">
        <v>95</v>
      </c>
      <c r="D46" s="152">
        <v>96.92303649196576</v>
      </c>
      <c r="E46" s="106">
        <v>96.916007532956684</v>
      </c>
      <c r="F46" s="106">
        <v>107.5171383998217</v>
      </c>
      <c r="G46" s="106">
        <v>100.12370633681807</v>
      </c>
      <c r="H46" s="106">
        <v>91.280848105665626</v>
      </c>
      <c r="I46" s="106">
        <v>113.91297013444823</v>
      </c>
      <c r="J46" s="106">
        <v>101.3949889170361</v>
      </c>
      <c r="K46" s="120">
        <v>105.90381926193334</v>
      </c>
      <c r="L46" s="127">
        <v>79.746685082872929</v>
      </c>
      <c r="M46" s="107">
        <v>78.827982426495439</v>
      </c>
      <c r="N46" s="107">
        <v>70.742290748898682</v>
      </c>
      <c r="O46" s="107"/>
      <c r="P46" s="137">
        <v>68.193037974683548</v>
      </c>
      <c r="Q46" s="142">
        <f>SUMPRODUCT(D46:P46,GC_Estim1_11_SURF_24_25!D46:P46)/GC_Estim1_11_SURF_24_25!Q46</f>
        <v>104.6411788660445</v>
      </c>
      <c r="R46" s="133"/>
      <c r="S46" s="48"/>
      <c r="T46" s="54"/>
    </row>
    <row r="47" spans="2:20" ht="15" customHeight="1">
      <c r="B47" s="465"/>
      <c r="C47" s="149" t="s">
        <v>74</v>
      </c>
      <c r="D47" s="271">
        <v>-0.13058598504607888</v>
      </c>
      <c r="E47" s="272">
        <v>-0.15789473684210531</v>
      </c>
      <c r="F47" s="272">
        <v>-8.333333333333337E-2</v>
      </c>
      <c r="G47" s="272">
        <v>-0.08</v>
      </c>
      <c r="H47" s="272">
        <v>1.0785305021907554E-2</v>
      </c>
      <c r="I47" s="272">
        <v>-0.17355371900826444</v>
      </c>
      <c r="J47" s="272">
        <v>-4.3395077832855011E-2</v>
      </c>
      <c r="K47" s="273">
        <v>-0.18867924528301883</v>
      </c>
      <c r="L47" s="271">
        <v>-6.25E-2</v>
      </c>
      <c r="M47" s="272">
        <v>-6.25E-2</v>
      </c>
      <c r="N47" s="272">
        <v>-0.1428571428571429</v>
      </c>
      <c r="O47" s="450"/>
      <c r="P47" s="274">
        <v>-0.19999999999999996</v>
      </c>
      <c r="Q47" s="275">
        <f>Q43/Q44-1</f>
        <v>-0.11082235979383703</v>
      </c>
      <c r="R47" s="447"/>
      <c r="S47" s="48"/>
      <c r="T47" s="54"/>
    </row>
    <row r="48" spans="2:20" ht="15" customHeight="1">
      <c r="B48" s="465"/>
      <c r="C48" s="149" t="s">
        <v>121</v>
      </c>
      <c r="D48" s="271">
        <v>2.171848064451809E-2</v>
      </c>
      <c r="E48" s="272">
        <v>-0.15351310292442077</v>
      </c>
      <c r="F48" s="272">
        <v>1.2336194433740344E-2</v>
      </c>
      <c r="G48" s="272">
        <v>-0.05</v>
      </c>
      <c r="H48" s="272">
        <v>-4.2049862504778268E-5</v>
      </c>
      <c r="I48" s="272">
        <v>-0.12877930255233172</v>
      </c>
      <c r="J48" s="272">
        <v>8.7690422649032929E-2</v>
      </c>
      <c r="K48" s="273">
        <v>-0.20880260242320092</v>
      </c>
      <c r="L48" s="271">
        <v>-7.5081361758145393E-2</v>
      </c>
      <c r="M48" s="272">
        <v>-4.2799305957200606E-2</v>
      </c>
      <c r="N48" s="272">
        <v>-0.12991858887381269</v>
      </c>
      <c r="O48" s="450"/>
      <c r="P48" s="274">
        <v>-0.20607100912458221</v>
      </c>
      <c r="Q48" s="275">
        <f>Q43/Q45-1</f>
        <v>-7.0585047574861504E-2</v>
      </c>
      <c r="R48" s="448"/>
      <c r="S48" s="48"/>
    </row>
    <row r="49" spans="2:20" ht="15" customHeight="1" thickBot="1">
      <c r="B49" s="466"/>
      <c r="C49" s="150" t="s">
        <v>122</v>
      </c>
      <c r="D49" s="281">
        <v>3.1746462135338716E-2</v>
      </c>
      <c r="E49" s="282">
        <v>-0.17454296729262531</v>
      </c>
      <c r="F49" s="282">
        <v>2.309270537823771E-2</v>
      </c>
      <c r="G49" s="282">
        <v>-0.05</v>
      </c>
      <c r="H49" s="282">
        <v>-1.4360603925899218E-2</v>
      </c>
      <c r="I49" s="282">
        <v>-0.12213683936102404</v>
      </c>
      <c r="J49" s="282">
        <v>8.4866236239788284E-2</v>
      </c>
      <c r="K49" s="283">
        <v>-0.18794241228170394</v>
      </c>
      <c r="L49" s="281">
        <v>-5.9522036282011803E-2</v>
      </c>
      <c r="M49" s="282">
        <v>-4.8561212765592554E-2</v>
      </c>
      <c r="N49" s="282">
        <v>-0.15185104461811505</v>
      </c>
      <c r="O49" s="450"/>
      <c r="P49" s="284">
        <v>-0.23745881479419007</v>
      </c>
      <c r="Q49" s="285">
        <f>Q43/Q46-1</f>
        <v>-6.4743477804397487E-2</v>
      </c>
      <c r="R49" s="134"/>
      <c r="S49" s="48"/>
    </row>
    <row r="50" spans="2:20" ht="18.649999999999999" customHeight="1">
      <c r="B50" s="470" t="s">
        <v>62</v>
      </c>
      <c r="C50" s="146" t="s">
        <v>108</v>
      </c>
      <c r="D50" s="286">
        <v>30</v>
      </c>
      <c r="E50" s="287">
        <v>40</v>
      </c>
      <c r="F50" s="287">
        <v>40</v>
      </c>
      <c r="G50" s="287">
        <v>35</v>
      </c>
      <c r="H50" s="287">
        <v>50</v>
      </c>
      <c r="I50" s="287">
        <v>45.260047281323878</v>
      </c>
      <c r="J50" s="287">
        <v>42</v>
      </c>
      <c r="K50" s="288">
        <v>50</v>
      </c>
      <c r="L50" s="286">
        <v>25</v>
      </c>
      <c r="M50" s="287">
        <v>30</v>
      </c>
      <c r="N50" s="287">
        <v>25</v>
      </c>
      <c r="O50" s="287"/>
      <c r="P50" s="288"/>
      <c r="Q50" s="270">
        <f>SUMPRODUCT(D50:P50,GC_Estim1_11_SURF_24_25!D50:P50)/GC_Estim1_11_SURF_24_25!Q50</f>
        <v>40.81538226708134</v>
      </c>
      <c r="R50" s="132"/>
      <c r="S50" s="48"/>
      <c r="T50" s="54"/>
    </row>
    <row r="51" spans="2:20" ht="15" customHeight="1">
      <c r="B51" s="468"/>
      <c r="C51" s="147" t="s">
        <v>97</v>
      </c>
      <c r="D51" s="152">
        <v>51.986467236467234</v>
      </c>
      <c r="E51" s="106">
        <v>76</v>
      </c>
      <c r="F51" s="106">
        <v>86.998114985862401</v>
      </c>
      <c r="G51" s="106">
        <v>80.155350269438031</v>
      </c>
      <c r="H51" s="106">
        <v>65.987559808612446</v>
      </c>
      <c r="I51" s="106">
        <v>94.781100961927081</v>
      </c>
      <c r="J51" s="106">
        <v>80.004305461137548</v>
      </c>
      <c r="K51" s="120">
        <v>74.991057455846189</v>
      </c>
      <c r="L51" s="127">
        <v>50</v>
      </c>
      <c r="M51" s="107">
        <v>65</v>
      </c>
      <c r="N51" s="107">
        <v>59</v>
      </c>
      <c r="O51" s="107"/>
      <c r="P51" s="137"/>
      <c r="Q51" s="142">
        <f>SUMPRODUCT(D51:P51,GC_Estim1_11_SURF_24_25!D51:P51)/GC_Estim1_11_SURF_24_25!Q51</f>
        <v>83.474615555152468</v>
      </c>
      <c r="R51" s="133"/>
      <c r="S51" s="48"/>
      <c r="T51" s="54"/>
    </row>
    <row r="52" spans="2:20" ht="15" customHeight="1">
      <c r="B52" s="468"/>
      <c r="C52" s="148" t="s">
        <v>94</v>
      </c>
      <c r="D52" s="152">
        <v>57.769777242624926</v>
      </c>
      <c r="E52" s="106">
        <v>77.407370184254603</v>
      </c>
      <c r="F52" s="106">
        <v>68.668774909027903</v>
      </c>
      <c r="G52" s="106">
        <v>70.712383400903121</v>
      </c>
      <c r="H52" s="106">
        <v>68.1402417348027</v>
      </c>
      <c r="I52" s="106">
        <v>85.897917086713093</v>
      </c>
      <c r="J52" s="106">
        <v>120.55430898362836</v>
      </c>
      <c r="K52" s="120">
        <v>71.45895287450962</v>
      </c>
      <c r="L52" s="127">
        <v>60.208845208845212</v>
      </c>
      <c r="M52" s="107">
        <v>60.766129032258064</v>
      </c>
      <c r="N52" s="107">
        <v>54.66101694915254</v>
      </c>
      <c r="O52" s="107"/>
      <c r="P52" s="137">
        <v>50.294117647058826</v>
      </c>
      <c r="Q52" s="142">
        <f>SUMPRODUCT(D52:P52,GC_Estim1_11_SURF_24_25!D52:P52)/GC_Estim1_11_SURF_24_25!Q52</f>
        <v>76.421833771685684</v>
      </c>
      <c r="R52" s="133"/>
      <c r="S52" s="48"/>
      <c r="T52" s="54"/>
    </row>
    <row r="53" spans="2:20" ht="15" customHeight="1">
      <c r="B53" s="468"/>
      <c r="C53" s="148" t="s">
        <v>95</v>
      </c>
      <c r="D53" s="152">
        <v>61.665158371040725</v>
      </c>
      <c r="E53" s="106">
        <v>77.426004228329816</v>
      </c>
      <c r="F53" s="106">
        <v>64.612412200155248</v>
      </c>
      <c r="G53" s="106">
        <v>67.102960293561068</v>
      </c>
      <c r="H53" s="106">
        <v>72.404540763673893</v>
      </c>
      <c r="I53" s="106">
        <v>86.699933564626861</v>
      </c>
      <c r="J53" s="106">
        <v>83.631655405405411</v>
      </c>
      <c r="K53" s="120">
        <v>68.638761593016909</v>
      </c>
      <c r="L53" s="127">
        <v>69.281980450488732</v>
      </c>
      <c r="M53" s="107">
        <v>71.788876276958007</v>
      </c>
      <c r="N53" s="107">
        <v>68.086614173228341</v>
      </c>
      <c r="O53" s="107"/>
      <c r="P53" s="137">
        <v>59.333333333333336</v>
      </c>
      <c r="Q53" s="142">
        <f>SUMPRODUCT(D53:P53,GC_Estim1_11_SURF_24_25!D53:P53)/GC_Estim1_11_SURF_24_25!Q53</f>
        <v>73.47028501411755</v>
      </c>
      <c r="R53" s="133"/>
      <c r="S53" s="48"/>
      <c r="T53" s="54"/>
    </row>
    <row r="54" spans="2:20" ht="15" customHeight="1">
      <c r="B54" s="468"/>
      <c r="C54" s="149" t="s">
        <v>74</v>
      </c>
      <c r="D54" s="271">
        <v>-0.42292674238583894</v>
      </c>
      <c r="E54" s="272">
        <v>-0.47368421052631582</v>
      </c>
      <c r="F54" s="272">
        <v>-0.5402199230810899</v>
      </c>
      <c r="G54" s="272">
        <v>-0.56334792521834998</v>
      </c>
      <c r="H54" s="272">
        <v>-0.24228142175558687</v>
      </c>
      <c r="I54" s="272">
        <v>-0.52247814361742295</v>
      </c>
      <c r="J54" s="272">
        <v>-0.47502825306818408</v>
      </c>
      <c r="K54" s="273">
        <v>-0.33325383457301716</v>
      </c>
      <c r="L54" s="271">
        <v>-0.5</v>
      </c>
      <c r="M54" s="272">
        <v>-0.53846153846153844</v>
      </c>
      <c r="N54" s="272">
        <v>-0.57627118644067798</v>
      </c>
      <c r="O54" s="450"/>
      <c r="P54" s="450"/>
      <c r="Q54" s="275">
        <f>Q50/Q51-1</f>
        <v>-0.51104438162863741</v>
      </c>
      <c r="R54" s="125"/>
      <c r="S54" s="48"/>
      <c r="T54" s="54"/>
    </row>
    <row r="55" spans="2:20" ht="15" customHeight="1">
      <c r="B55" s="468"/>
      <c r="C55" s="149" t="s">
        <v>92</v>
      </c>
      <c r="D55" s="271">
        <v>-0.48069732251166164</v>
      </c>
      <c r="E55" s="272">
        <v>-0.48325334002709242</v>
      </c>
      <c r="F55" s="272">
        <v>-0.41749361259186835</v>
      </c>
      <c r="G55" s="272">
        <v>-0.50503718985728618</v>
      </c>
      <c r="H55" s="272">
        <v>-0.26621921603101029</v>
      </c>
      <c r="I55" s="272">
        <v>-0.47309493854624773</v>
      </c>
      <c r="J55" s="272">
        <v>-0.65160930078655488</v>
      </c>
      <c r="K55" s="273">
        <v>-0.3002976115840108</v>
      </c>
      <c r="L55" s="271">
        <v>-0.58477861660885533</v>
      </c>
      <c r="M55" s="272">
        <v>-0.50630391506303907</v>
      </c>
      <c r="N55" s="272">
        <v>-0.54263565891472865</v>
      </c>
      <c r="O55" s="450"/>
      <c r="P55" s="274">
        <v>-1</v>
      </c>
      <c r="Q55" s="275">
        <f>Q50/Q52-1</f>
        <v>-0.46591987848630434</v>
      </c>
      <c r="R55" s="59"/>
      <c r="S55" s="48"/>
    </row>
    <row r="56" spans="2:20" ht="15" customHeight="1" thickBot="1">
      <c r="B56" s="469"/>
      <c r="C56" s="150" t="s">
        <v>93</v>
      </c>
      <c r="D56" s="281">
        <v>-0.51350161432345165</v>
      </c>
      <c r="E56" s="282">
        <v>-0.48337770496279608</v>
      </c>
      <c r="F56" s="282">
        <v>-0.38092390242158625</v>
      </c>
      <c r="G56" s="282">
        <v>-0.47841347316299454</v>
      </c>
      <c r="H56" s="282">
        <v>-0.30943557582668191</v>
      </c>
      <c r="I56" s="282">
        <v>-0.4779690661748125</v>
      </c>
      <c r="J56" s="282">
        <v>-0.49779781595372574</v>
      </c>
      <c r="K56" s="283">
        <v>-0.27154862879858777</v>
      </c>
      <c r="L56" s="281">
        <v>-0.63915581169239455</v>
      </c>
      <c r="M56" s="282">
        <v>-0.58210795939664173</v>
      </c>
      <c r="N56" s="282">
        <v>-0.63282063143286682</v>
      </c>
      <c r="O56" s="455"/>
      <c r="P56" s="284">
        <v>-1</v>
      </c>
      <c r="Q56" s="285">
        <f>Q50/Q53-1</f>
        <v>-0.44446408150943562</v>
      </c>
      <c r="R56" s="135"/>
      <c r="S56" s="48"/>
    </row>
    <row r="57" spans="2:20" ht="13.5" customHeight="1">
      <c r="B57" s="470" t="s">
        <v>129</v>
      </c>
      <c r="C57" s="146" t="s">
        <v>108</v>
      </c>
      <c r="D57" s="267">
        <v>78.5</v>
      </c>
      <c r="E57" s="268">
        <v>56.81</v>
      </c>
      <c r="F57" s="268">
        <v>77.28</v>
      </c>
      <c r="G57" s="268">
        <v>78</v>
      </c>
      <c r="H57" s="268">
        <v>73.459999999999994</v>
      </c>
      <c r="I57" s="268">
        <v>75.790000000000006</v>
      </c>
      <c r="J57" s="268">
        <v>80.36</v>
      </c>
      <c r="K57" s="269">
        <v>76.959999999999994</v>
      </c>
      <c r="L57" s="71">
        <v>53.13</v>
      </c>
      <c r="M57" s="71">
        <v>62.84</v>
      </c>
      <c r="N57" s="71">
        <v>45.42</v>
      </c>
      <c r="O57" s="71">
        <v>60</v>
      </c>
      <c r="P57" s="71">
        <v>52</v>
      </c>
      <c r="Q57" s="270">
        <f>SUMPRODUCT(D57:P57,GC_Estim1_11_SURF_24_25!D57:P57)/GC_Estim1_11_SURF_24_25!Q57</f>
        <v>76.949888909915416</v>
      </c>
      <c r="R57" s="132"/>
      <c r="S57" s="48"/>
      <c r="T57" s="54"/>
    </row>
    <row r="58" spans="2:20" ht="14.5" customHeight="1">
      <c r="B58" s="468"/>
      <c r="C58" s="147" t="s">
        <v>97</v>
      </c>
      <c r="D58" s="152">
        <v>90.09</v>
      </c>
      <c r="E58" s="106">
        <v>84.23</v>
      </c>
      <c r="F58" s="106">
        <v>104.18</v>
      </c>
      <c r="G58" s="106">
        <v>96.44</v>
      </c>
      <c r="H58" s="106">
        <v>79.349999999999994</v>
      </c>
      <c r="I58" s="106">
        <v>109.39</v>
      </c>
      <c r="J58" s="106">
        <v>98.99</v>
      </c>
      <c r="K58" s="120">
        <v>97.66</v>
      </c>
      <c r="L58" s="127">
        <v>59.85</v>
      </c>
      <c r="M58" s="107">
        <v>76.95</v>
      </c>
      <c r="N58" s="107">
        <v>68.31</v>
      </c>
      <c r="O58" s="107"/>
      <c r="P58" s="137">
        <v>65</v>
      </c>
      <c r="Q58" s="142">
        <f>SUMPRODUCT(D58:P58,GC_Estim1_11_SURF_24_25!D58:P58)/GC_Estim1_11_SURF_24_25!Q58</f>
        <v>100.08193345745727</v>
      </c>
      <c r="R58" s="133"/>
      <c r="S58" s="48"/>
      <c r="T58" s="54"/>
    </row>
    <row r="59" spans="2:20" ht="14.5" customHeight="1">
      <c r="B59" s="468"/>
      <c r="C59" s="148" t="s">
        <v>94</v>
      </c>
      <c r="D59" s="152">
        <v>80.120149253731341</v>
      </c>
      <c r="E59" s="106">
        <v>82.848560986751949</v>
      </c>
      <c r="F59" s="106">
        <v>89.051834293384985</v>
      </c>
      <c r="G59" s="106">
        <v>91.109336736965517</v>
      </c>
      <c r="H59" s="106">
        <v>79.500980475743887</v>
      </c>
      <c r="I59" s="106">
        <v>101.97987984272319</v>
      </c>
      <c r="J59" s="106">
        <v>107.8634425946195</v>
      </c>
      <c r="K59" s="120">
        <v>97.734909184226282</v>
      </c>
      <c r="L59" s="127">
        <v>67.638617778950149</v>
      </c>
      <c r="M59" s="107">
        <v>74.495872641509436</v>
      </c>
      <c r="N59" s="107">
        <v>66.855361596009971</v>
      </c>
      <c r="O59" s="107"/>
      <c r="P59" s="137">
        <v>64.107526881720432</v>
      </c>
      <c r="Q59" s="142">
        <f>SUMPRODUCT(D59:P59,GC_Estim1_11_SURF_24_25!D59:P59)/GC_Estim1_11_SURF_24_25!Q59</f>
        <v>94.177905667663779</v>
      </c>
      <c r="R59" s="133"/>
      <c r="S59" s="48"/>
      <c r="T59" s="54"/>
    </row>
    <row r="60" spans="2:20" ht="14.5" customHeight="1">
      <c r="B60" s="468"/>
      <c r="C60" s="148" t="s">
        <v>95</v>
      </c>
      <c r="D60" s="152">
        <v>83.510444289369616</v>
      </c>
      <c r="E60" s="106">
        <v>83.637258432361065</v>
      </c>
      <c r="F60" s="106">
        <v>88.6517598481569</v>
      </c>
      <c r="G60" s="106">
        <v>90.713386011395343</v>
      </c>
      <c r="H60" s="106">
        <v>82.468126899414429</v>
      </c>
      <c r="I60" s="106">
        <v>102.16873683908723</v>
      </c>
      <c r="J60" s="106">
        <v>94.833054612619804</v>
      </c>
      <c r="K60" s="120">
        <v>95.967626971947254</v>
      </c>
      <c r="L60" s="127">
        <v>73.831852029786205</v>
      </c>
      <c r="M60" s="107">
        <v>77.213020833333331</v>
      </c>
      <c r="N60" s="107">
        <v>70.416425120772942</v>
      </c>
      <c r="O60" s="107"/>
      <c r="P60" s="137">
        <v>67.567647058823525</v>
      </c>
      <c r="Q60" s="142">
        <f>SUMPRODUCT(D60:P60,GC_Estim1_11_SURF_24_25!D60:P60)/GC_Estim1_11_SURF_24_25!Q60</f>
        <v>93.302887209093214</v>
      </c>
      <c r="R60" s="133"/>
      <c r="S60" s="48"/>
      <c r="T60" s="54"/>
    </row>
    <row r="61" spans="2:20" ht="14.5" customHeight="1">
      <c r="B61" s="468"/>
      <c r="C61" s="149" t="s">
        <v>74</v>
      </c>
      <c r="D61" s="271">
        <v>-0.1286491286491287</v>
      </c>
      <c r="E61" s="272">
        <v>-0.32553721951798642</v>
      </c>
      <c r="F61" s="272">
        <v>-0.25820694951046275</v>
      </c>
      <c r="G61" s="272">
        <v>-0.15543343011198663</v>
      </c>
      <c r="H61" s="272">
        <v>-7.4228103339634588E-2</v>
      </c>
      <c r="I61" s="272">
        <v>-0.30715787549136109</v>
      </c>
      <c r="J61" s="272">
        <v>-0.18820082836650165</v>
      </c>
      <c r="K61" s="273">
        <v>-0.21195986074134754</v>
      </c>
      <c r="L61" s="271">
        <v>-0.11228070175438598</v>
      </c>
      <c r="M61" s="272">
        <v>-0.18336582196231321</v>
      </c>
      <c r="N61" s="272">
        <v>-0.33509003074220467</v>
      </c>
      <c r="O61" s="450"/>
      <c r="P61" s="274">
        <v>-0.19999999999999996</v>
      </c>
      <c r="Q61" s="275">
        <f>Q57/Q58-1</f>
        <v>-0.23113107179703718</v>
      </c>
      <c r="R61" s="135"/>
      <c r="S61" s="48"/>
      <c r="T61" s="54"/>
    </row>
    <row r="62" spans="2:20" ht="14.5" customHeight="1">
      <c r="B62" s="468"/>
      <c r="C62" s="149" t="s">
        <v>121</v>
      </c>
      <c r="D62" s="271">
        <v>-2.0221495701418513E-2</v>
      </c>
      <c r="E62" s="272">
        <v>-0.31429104714221523</v>
      </c>
      <c r="F62" s="272">
        <v>-0.13219081209043027</v>
      </c>
      <c r="G62" s="272">
        <v>-0.10601917523395232</v>
      </c>
      <c r="H62" s="272">
        <v>-7.5986238655094573E-2</v>
      </c>
      <c r="I62" s="272">
        <v>-0.25681418612293039</v>
      </c>
      <c r="J62" s="272">
        <v>-0.25498391237135831</v>
      </c>
      <c r="K62" s="273">
        <v>-0.21256385622732243</v>
      </c>
      <c r="L62" s="271">
        <v>-0.2145019850400518</v>
      </c>
      <c r="M62" s="272">
        <v>-0.15646333452055872</v>
      </c>
      <c r="N62" s="272">
        <v>-0.32062292513708079</v>
      </c>
      <c r="O62" s="450"/>
      <c r="P62" s="274">
        <v>-0.18886279771888626</v>
      </c>
      <c r="Q62" s="275">
        <f>Q57/Q59-1</f>
        <v>-0.18293055717912032</v>
      </c>
      <c r="R62" s="125"/>
      <c r="S62" s="48"/>
    </row>
    <row r="63" spans="2:20" ht="14.5" customHeight="1" thickBot="1">
      <c r="B63" s="469"/>
      <c r="C63" s="150" t="s">
        <v>122</v>
      </c>
      <c r="D63" s="281">
        <v>-5.9997816225334288E-2</v>
      </c>
      <c r="E63" s="282">
        <v>-0.32075726697876816</v>
      </c>
      <c r="F63" s="282">
        <v>-0.12827449638489408</v>
      </c>
      <c r="G63" s="282">
        <v>-0.10211707906296963</v>
      </c>
      <c r="H63" s="282">
        <v>-0.10923161757270849</v>
      </c>
      <c r="I63" s="282">
        <v>-0.25818795117955662</v>
      </c>
      <c r="J63" s="282">
        <v>-0.15261613866325696</v>
      </c>
      <c r="K63" s="283">
        <v>-0.19806290487419753</v>
      </c>
      <c r="L63" s="281">
        <v>-0.28039188318660069</v>
      </c>
      <c r="M63" s="282">
        <v>-0.18614763000087686</v>
      </c>
      <c r="N63" s="282">
        <v>-0.35498003594901273</v>
      </c>
      <c r="O63" s="450"/>
      <c r="P63" s="284">
        <v>-0.23040090541069946</v>
      </c>
      <c r="Q63" s="285">
        <f>Q57/Q60-1</f>
        <v>-0.1752678699270096</v>
      </c>
      <c r="R63" s="59"/>
      <c r="S63" s="48"/>
    </row>
    <row r="64" spans="2:20" ht="13.5" customHeight="1">
      <c r="B64" s="470" t="s">
        <v>63</v>
      </c>
      <c r="C64" s="146" t="s">
        <v>108</v>
      </c>
      <c r="D64" s="286">
        <v>42</v>
      </c>
      <c r="E64" s="287">
        <v>35</v>
      </c>
      <c r="F64" s="287">
        <v>30</v>
      </c>
      <c r="G64" s="287">
        <v>29</v>
      </c>
      <c r="H64" s="287">
        <v>36</v>
      </c>
      <c r="I64" s="287">
        <v>30</v>
      </c>
      <c r="J64" s="287">
        <v>37</v>
      </c>
      <c r="K64" s="288">
        <v>34</v>
      </c>
      <c r="L64" s="286">
        <v>33</v>
      </c>
      <c r="M64" s="287">
        <v>29</v>
      </c>
      <c r="N64" s="287">
        <v>29</v>
      </c>
      <c r="O64" s="287"/>
      <c r="P64" s="288">
        <v>29</v>
      </c>
      <c r="Q64" s="270">
        <f>SUMPRODUCT(D64:P64,GC_Estim1_11_SURF_24_25!D64:P64)/GC_Estim1_11_SURF_24_25!Q64</f>
        <v>33.398666855765143</v>
      </c>
      <c r="R64" s="132"/>
      <c r="S64" s="48"/>
      <c r="T64" s="54"/>
    </row>
    <row r="65" spans="2:21" ht="15" customHeight="1">
      <c r="B65" s="468"/>
      <c r="C65" s="147" t="s">
        <v>97</v>
      </c>
      <c r="D65" s="152">
        <v>38</v>
      </c>
      <c r="E65" s="106">
        <v>35</v>
      </c>
      <c r="F65" s="106">
        <v>33</v>
      </c>
      <c r="G65" s="106">
        <v>35</v>
      </c>
      <c r="H65" s="106">
        <v>35</v>
      </c>
      <c r="I65" s="106">
        <v>30</v>
      </c>
      <c r="J65" s="106">
        <v>35</v>
      </c>
      <c r="K65" s="120">
        <v>35</v>
      </c>
      <c r="L65" s="127">
        <v>29</v>
      </c>
      <c r="M65" s="107">
        <v>27</v>
      </c>
      <c r="N65" s="107">
        <v>29</v>
      </c>
      <c r="O65" s="107"/>
      <c r="P65" s="137"/>
      <c r="Q65" s="142">
        <f>SUMPRODUCT(D65:P65,GC_Estim1_11_SURF_24_25!D65:P65)/GC_Estim1_11_SURF_24_25!Q65</f>
        <v>34.585139318885446</v>
      </c>
      <c r="R65" s="133"/>
      <c r="S65" s="48"/>
      <c r="T65" s="54"/>
    </row>
    <row r="66" spans="2:21" ht="15" customHeight="1">
      <c r="B66" s="468"/>
      <c r="C66" s="148" t="s">
        <v>94</v>
      </c>
      <c r="D66" s="152">
        <v>32.372756071805703</v>
      </c>
      <c r="E66" s="106">
        <v>33.411483253588514</v>
      </c>
      <c r="F66" s="106">
        <v>30.398879028491358</v>
      </c>
      <c r="G66" s="106">
        <v>32.469669570935395</v>
      </c>
      <c r="H66" s="106">
        <v>31.036610878661087</v>
      </c>
      <c r="I66" s="106">
        <v>30.743842364532021</v>
      </c>
      <c r="J66" s="106">
        <v>31.407794676806084</v>
      </c>
      <c r="K66" s="120">
        <v>34.569964442585231</v>
      </c>
      <c r="L66" s="127">
        <v>29.376884422110553</v>
      </c>
      <c r="M66" s="107">
        <v>28.678160919540229</v>
      </c>
      <c r="N66" s="107">
        <v>29.436285097192226</v>
      </c>
      <c r="O66" s="107"/>
      <c r="P66" s="137">
        <v>28.714285714285715</v>
      </c>
      <c r="Q66" s="142">
        <f>SUMPRODUCT(D66:P66,GC_Estim1_11_SURF_24_25!D66:P66)/GC_Estim1_11_SURF_24_25!Q66</f>
        <v>32.17839152635937</v>
      </c>
      <c r="R66" s="133"/>
      <c r="S66" s="48"/>
      <c r="T66" s="54"/>
    </row>
    <row r="67" spans="2:21" ht="15" customHeight="1">
      <c r="B67" s="468"/>
      <c r="C67" s="148" t="s">
        <v>95</v>
      </c>
      <c r="D67" s="152">
        <v>32.766301072676875</v>
      </c>
      <c r="E67" s="106">
        <v>32.897838899803538</v>
      </c>
      <c r="F67" s="106">
        <v>30.764820675105486</v>
      </c>
      <c r="G67" s="106">
        <v>34.391903096723027</v>
      </c>
      <c r="H67" s="106">
        <v>31.432008953553442</v>
      </c>
      <c r="I67" s="106">
        <v>31.1282301316431</v>
      </c>
      <c r="J67" s="106">
        <v>31.936804879298858</v>
      </c>
      <c r="K67" s="120">
        <v>33.932042320949826</v>
      </c>
      <c r="L67" s="127">
        <v>29.407263028313501</v>
      </c>
      <c r="M67" s="107">
        <v>27.307221542227662</v>
      </c>
      <c r="N67" s="107">
        <v>29.671264367816093</v>
      </c>
      <c r="O67" s="107"/>
      <c r="P67" s="137">
        <v>28.744186046511629</v>
      </c>
      <c r="Q67" s="142">
        <f>SUMPRODUCT(D67:P67,GC_Estim1_11_SURF_24_25!D67:P67)/GC_Estim1_11_SURF_24_25!Q67</f>
        <v>32.700421617477971</v>
      </c>
      <c r="R67" s="133"/>
      <c r="S67" s="48"/>
      <c r="T67" s="54"/>
    </row>
    <row r="68" spans="2:21" ht="15" customHeight="1">
      <c r="B68" s="468"/>
      <c r="C68" s="149" t="s">
        <v>74</v>
      </c>
      <c r="D68" s="271">
        <v>0.10526315789473695</v>
      </c>
      <c r="E68" s="272">
        <v>0</v>
      </c>
      <c r="F68" s="272">
        <v>-9.0909090909090939E-2</v>
      </c>
      <c r="G68" s="272">
        <v>-0.17142857142857137</v>
      </c>
      <c r="H68" s="272">
        <v>2.857142857142847E-2</v>
      </c>
      <c r="I68" s="272">
        <v>0</v>
      </c>
      <c r="J68" s="272">
        <v>5.7142857142857162E-2</v>
      </c>
      <c r="K68" s="273">
        <v>-2.8571428571428581E-2</v>
      </c>
      <c r="L68" s="271">
        <v>0.13793103448275867</v>
      </c>
      <c r="M68" s="272">
        <v>7.4074074074074181E-2</v>
      </c>
      <c r="N68" s="272">
        <v>0</v>
      </c>
      <c r="O68" s="450"/>
      <c r="P68" s="450"/>
      <c r="Q68" s="275">
        <f>Q64/Q65-1</f>
        <v>-3.4305845993004902E-2</v>
      </c>
      <c r="R68" s="448"/>
      <c r="S68" s="448"/>
      <c r="T68" s="448"/>
      <c r="U68" s="448"/>
    </row>
    <row r="69" spans="2:21" ht="15" customHeight="1">
      <c r="B69" s="468"/>
      <c r="C69" s="149" t="s">
        <v>121</v>
      </c>
      <c r="D69" s="271">
        <v>0.29738721988452888</v>
      </c>
      <c r="E69" s="272">
        <v>4.7544035514821781E-2</v>
      </c>
      <c r="F69" s="272">
        <v>-1.3121504517239257E-2</v>
      </c>
      <c r="G69" s="272">
        <v>-0.10685878904173396</v>
      </c>
      <c r="H69" s="272">
        <v>0.15992046105625035</v>
      </c>
      <c r="I69" s="272">
        <v>-2.4194840570421428E-2</v>
      </c>
      <c r="J69" s="272">
        <v>0.17805151175811873</v>
      </c>
      <c r="K69" s="273">
        <v>-1.6487273035291738E-2</v>
      </c>
      <c r="L69" s="271">
        <v>0.12333219295244602</v>
      </c>
      <c r="M69" s="272">
        <v>1.1222444889779526E-2</v>
      </c>
      <c r="N69" s="272">
        <v>-1.4821336855235234E-2</v>
      </c>
      <c r="O69" s="450"/>
      <c r="P69" s="274">
        <v>9.9502487562188602E-3</v>
      </c>
      <c r="Q69" s="275">
        <f>Q64/Q66-1</f>
        <v>3.7922197832858329E-2</v>
      </c>
      <c r="R69" s="126"/>
      <c r="S69" s="48"/>
    </row>
    <row r="70" spans="2:21" ht="15" customHeight="1" thickBot="1">
      <c r="B70" s="469"/>
      <c r="C70" s="150" t="s">
        <v>122</v>
      </c>
      <c r="D70" s="281">
        <v>0.28180473916913718</v>
      </c>
      <c r="E70" s="282">
        <v>6.3899671543744319E-2</v>
      </c>
      <c r="F70" s="282">
        <v>-2.4860235110174767E-2</v>
      </c>
      <c r="G70" s="282">
        <v>-0.15677827079120799</v>
      </c>
      <c r="H70" s="282">
        <v>0.14532927415478292</v>
      </c>
      <c r="I70" s="282">
        <v>-3.6244596203245383E-2</v>
      </c>
      <c r="J70" s="282">
        <v>0.15853793577149777</v>
      </c>
      <c r="K70" s="283">
        <v>2.0027582898602958E-3</v>
      </c>
      <c r="L70" s="281">
        <v>0.12217175628440469</v>
      </c>
      <c r="M70" s="282">
        <v>6.1990138951143026E-2</v>
      </c>
      <c r="N70" s="282">
        <v>-2.2623382660571845E-2</v>
      </c>
      <c r="O70" s="450"/>
      <c r="P70" s="284">
        <v>8.8996763754045638E-3</v>
      </c>
      <c r="Q70" s="285">
        <f>Q64/Q67-1</f>
        <v>2.1352790078827955E-2</v>
      </c>
      <c r="R70" s="136"/>
      <c r="S70" s="48"/>
    </row>
    <row r="71" spans="2:21" ht="15" customHeight="1">
      <c r="B71" s="470" t="s">
        <v>64</v>
      </c>
      <c r="C71" s="146" t="s">
        <v>108</v>
      </c>
      <c r="D71" s="286">
        <v>41</v>
      </c>
      <c r="E71" s="287">
        <v>40</v>
      </c>
      <c r="F71" s="287">
        <v>45</v>
      </c>
      <c r="G71" s="287">
        <v>40</v>
      </c>
      <c r="H71" s="287">
        <v>40</v>
      </c>
      <c r="I71" s="287">
        <v>45</v>
      </c>
      <c r="J71" s="287">
        <v>32</v>
      </c>
      <c r="K71" s="288">
        <v>36</v>
      </c>
      <c r="L71" s="286">
        <v>40</v>
      </c>
      <c r="M71" s="287">
        <v>33</v>
      </c>
      <c r="N71" s="287">
        <v>30</v>
      </c>
      <c r="O71" s="287">
        <v>24</v>
      </c>
      <c r="P71" s="288">
        <v>26</v>
      </c>
      <c r="Q71" s="270">
        <f>SUMPRODUCT(D71:P71,GC_Estim1_11_SURF_24_25!D71:P71)/GC_Estim1_11_SURF_24_25!Q71</f>
        <v>38.944815639693147</v>
      </c>
      <c r="R71" s="132"/>
      <c r="S71" s="48"/>
      <c r="T71" s="54"/>
    </row>
    <row r="72" spans="2:21" ht="15" customHeight="1">
      <c r="B72" s="468"/>
      <c r="C72" s="147" t="s">
        <v>97</v>
      </c>
      <c r="D72" s="152">
        <v>55</v>
      </c>
      <c r="E72" s="106">
        <v>37</v>
      </c>
      <c r="F72" s="106">
        <v>43</v>
      </c>
      <c r="G72" s="106">
        <v>40</v>
      </c>
      <c r="H72" s="106">
        <v>42</v>
      </c>
      <c r="I72" s="106">
        <v>36</v>
      </c>
      <c r="J72" s="106">
        <v>47</v>
      </c>
      <c r="K72" s="120">
        <v>39</v>
      </c>
      <c r="L72" s="127">
        <v>55</v>
      </c>
      <c r="M72" s="107">
        <v>41</v>
      </c>
      <c r="N72" s="107">
        <v>37</v>
      </c>
      <c r="O72" s="107"/>
      <c r="P72" s="137"/>
      <c r="Q72" s="142">
        <f>SUMPRODUCT(D72:P72,GC_Estim1_11_SURF_24_25!D72:P72)/GC_Estim1_11_SURF_24_25!Q72</f>
        <v>42.293369663941874</v>
      </c>
      <c r="R72" s="133"/>
      <c r="S72" s="48"/>
      <c r="T72" s="54"/>
    </row>
    <row r="73" spans="2:21" ht="15" customHeight="1">
      <c r="B73" s="468"/>
      <c r="C73" s="148" t="s">
        <v>94</v>
      </c>
      <c r="D73" s="152">
        <v>51.440585009140769</v>
      </c>
      <c r="E73" s="106">
        <v>40.100189035916827</v>
      </c>
      <c r="F73" s="106">
        <v>48.044846457889939</v>
      </c>
      <c r="G73" s="106">
        <v>48.340824960338445</v>
      </c>
      <c r="H73" s="106">
        <v>44.338274420372485</v>
      </c>
      <c r="I73" s="106">
        <v>45.490750816104459</v>
      </c>
      <c r="J73" s="106">
        <v>47.152172721792972</v>
      </c>
      <c r="K73" s="120">
        <v>46.440576448381009</v>
      </c>
      <c r="L73" s="127">
        <v>52.575066234913159</v>
      </c>
      <c r="M73" s="107">
        <v>41.391559202813596</v>
      </c>
      <c r="N73" s="107">
        <v>37.427419354838712</v>
      </c>
      <c r="O73" s="107">
        <v>29.509803921568629</v>
      </c>
      <c r="P73" s="137">
        <v>32</v>
      </c>
      <c r="Q73" s="142">
        <f>SUMPRODUCT(D73:P73,GC_Estim1_11_SURF_24_25!D73:P73)/GC_Estim1_11_SURF_24_25!Q73</f>
        <v>47.543115004520374</v>
      </c>
      <c r="R73" s="133"/>
      <c r="S73" s="48"/>
      <c r="T73" s="54"/>
    </row>
    <row r="74" spans="2:21" ht="15" customHeight="1">
      <c r="B74" s="468"/>
      <c r="C74" s="148" t="s">
        <v>95</v>
      </c>
      <c r="D74" s="152">
        <v>51.941391941391942</v>
      </c>
      <c r="E74" s="106">
        <v>39.864892528147386</v>
      </c>
      <c r="F74" s="106">
        <v>53.610084705130255</v>
      </c>
      <c r="G74" s="106">
        <v>51.18054507170951</v>
      </c>
      <c r="H74" s="106">
        <v>42.025218006127737</v>
      </c>
      <c r="I74" s="106">
        <v>47.412514484356898</v>
      </c>
      <c r="J74" s="106">
        <v>47.748522829006269</v>
      </c>
      <c r="K74" s="120">
        <v>47.370398214495481</v>
      </c>
      <c r="L74" s="127">
        <v>51.400094218991853</v>
      </c>
      <c r="M74" s="107">
        <v>43.362490149724195</v>
      </c>
      <c r="N74" s="107">
        <v>38.097444781290605</v>
      </c>
      <c r="O74" s="107">
        <v>29.454545454545453</v>
      </c>
      <c r="P74" s="137">
        <v>32.727272727272727</v>
      </c>
      <c r="Q74" s="142">
        <f>SUMPRODUCT(D74:P74,GC_Estim1_11_SURF_24_25!D74:P74)/GC_Estim1_11_SURF_24_25!Q74</f>
        <v>49.971501711747827</v>
      </c>
      <c r="R74" s="133"/>
      <c r="S74" s="48"/>
      <c r="T74" s="54"/>
    </row>
    <row r="75" spans="2:21" ht="15" customHeight="1">
      <c r="B75" s="468"/>
      <c r="C75" s="149" t="s">
        <v>74</v>
      </c>
      <c r="D75" s="271">
        <v>-0.25454545454545452</v>
      </c>
      <c r="E75" s="272">
        <v>8.1081081081081141E-2</v>
      </c>
      <c r="F75" s="272">
        <v>4.6511627906976827E-2</v>
      </c>
      <c r="G75" s="272">
        <v>0</v>
      </c>
      <c r="H75" s="272">
        <v>-4.7619047619047672E-2</v>
      </c>
      <c r="I75" s="272">
        <v>0.25</v>
      </c>
      <c r="J75" s="272">
        <v>-0.31914893617021278</v>
      </c>
      <c r="K75" s="273">
        <v>-7.6923076923076872E-2</v>
      </c>
      <c r="L75" s="271">
        <v>-0.27272727272727271</v>
      </c>
      <c r="M75" s="272">
        <v>-0.19512195121951215</v>
      </c>
      <c r="N75" s="272">
        <v>-0.18918918918918914</v>
      </c>
      <c r="O75" s="450"/>
      <c r="P75" s="450"/>
      <c r="Q75" s="275">
        <f>Q71/Q72-1</f>
        <v>-7.9174443910616343E-2</v>
      </c>
      <c r="R75" s="40"/>
      <c r="S75" s="48"/>
      <c r="T75" s="54"/>
    </row>
    <row r="76" spans="2:21" ht="15" customHeight="1">
      <c r="B76" s="468"/>
      <c r="C76" s="149" t="s">
        <v>121</v>
      </c>
      <c r="D76" s="271">
        <v>-0.20296396332361932</v>
      </c>
      <c r="E76" s="272">
        <v>-2.4984679206148108E-3</v>
      </c>
      <c r="F76" s="272">
        <v>-6.3375089783223038E-2</v>
      </c>
      <c r="G76" s="272">
        <v>-0.17254204840694654</v>
      </c>
      <c r="H76" s="272">
        <v>-9.7844908875820868E-2</v>
      </c>
      <c r="I76" s="272">
        <v>-1.0787925178204039E-2</v>
      </c>
      <c r="J76" s="272">
        <v>-0.32134622536258828</v>
      </c>
      <c r="K76" s="273">
        <v>-0.22481582372229536</v>
      </c>
      <c r="L76" s="271">
        <v>-0.23918307927042648</v>
      </c>
      <c r="M76" s="272">
        <v>-0.20273600135950376</v>
      </c>
      <c r="N76" s="272">
        <v>-0.19844861021331617</v>
      </c>
      <c r="O76" s="272">
        <v>-0.18671096345514959</v>
      </c>
      <c r="P76" s="274">
        <v>-0.1875</v>
      </c>
      <c r="Q76" s="275">
        <f>Q71/Q73-1</f>
        <v>-0.18085267160154961</v>
      </c>
      <c r="R76" s="40"/>
      <c r="S76" s="48"/>
    </row>
    <row r="77" spans="2:21" ht="15" customHeight="1" thickBot="1">
      <c r="B77" s="469"/>
      <c r="C77" s="150" t="s">
        <v>122</v>
      </c>
      <c r="D77" s="281">
        <v>-0.21064880112834983</v>
      </c>
      <c r="E77" s="282">
        <v>3.3891342302558858E-3</v>
      </c>
      <c r="F77" s="282">
        <v>-0.16060569112113909</v>
      </c>
      <c r="G77" s="282">
        <v>-0.21845302851003934</v>
      </c>
      <c r="H77" s="282">
        <v>-4.8190541351443739E-2</v>
      </c>
      <c r="I77" s="282">
        <v>-5.0883495857467653E-2</v>
      </c>
      <c r="J77" s="282">
        <v>-0.32982219963963699</v>
      </c>
      <c r="K77" s="283">
        <v>-0.24003172113964</v>
      </c>
      <c r="L77" s="281">
        <v>-0.22179130976728101</v>
      </c>
      <c r="M77" s="282">
        <v>-0.23897359478074409</v>
      </c>
      <c r="N77" s="282">
        <v>-0.21254561369604519</v>
      </c>
      <c r="O77" s="282">
        <v>-0.18518518518518512</v>
      </c>
      <c r="P77" s="284">
        <v>-0.20555555555555549</v>
      </c>
      <c r="Q77" s="285">
        <f>Q71/Q74-1</f>
        <v>-0.22065948979600924</v>
      </c>
      <c r="R77" s="40"/>
      <c r="S77" s="48"/>
    </row>
    <row r="78" spans="2:21" ht="15" customHeight="1">
      <c r="B78" s="470" t="s">
        <v>75</v>
      </c>
      <c r="C78" s="146" t="s">
        <v>108</v>
      </c>
      <c r="D78" s="286">
        <v>28</v>
      </c>
      <c r="E78" s="287">
        <v>30</v>
      </c>
      <c r="F78" s="287">
        <v>25</v>
      </c>
      <c r="G78" s="287">
        <v>32</v>
      </c>
      <c r="H78" s="287">
        <v>28</v>
      </c>
      <c r="I78" s="287">
        <v>30</v>
      </c>
      <c r="J78" s="287">
        <v>31</v>
      </c>
      <c r="K78" s="288">
        <v>33</v>
      </c>
      <c r="L78" s="286">
        <v>27</v>
      </c>
      <c r="M78" s="287">
        <v>20</v>
      </c>
      <c r="N78" s="287">
        <v>20</v>
      </c>
      <c r="O78" s="287">
        <v>14</v>
      </c>
      <c r="P78" s="288"/>
      <c r="Q78" s="270">
        <f>SUMPRODUCT(D78:P78,GC_Estim1_11_SURF_24_25!D78:P78)/GC_Estim1_11_SURF_24_25!Q78</f>
        <v>28.741208295761947</v>
      </c>
      <c r="R78" s="132"/>
      <c r="S78" s="48"/>
      <c r="T78" s="54"/>
    </row>
    <row r="79" spans="2:21" ht="15" customHeight="1">
      <c r="B79" s="468"/>
      <c r="C79" s="147" t="s">
        <v>97</v>
      </c>
      <c r="D79" s="152">
        <v>30</v>
      </c>
      <c r="E79" s="106">
        <v>31.99</v>
      </c>
      <c r="F79" s="106">
        <v>27</v>
      </c>
      <c r="G79" s="106">
        <v>29</v>
      </c>
      <c r="H79" s="106">
        <v>23</v>
      </c>
      <c r="I79" s="106">
        <v>33</v>
      </c>
      <c r="J79" s="106">
        <v>29</v>
      </c>
      <c r="K79" s="120">
        <v>27</v>
      </c>
      <c r="L79" s="127">
        <v>25</v>
      </c>
      <c r="M79" s="107">
        <v>27</v>
      </c>
      <c r="N79" s="107">
        <v>24</v>
      </c>
      <c r="O79" s="107">
        <v>18</v>
      </c>
      <c r="P79" s="137">
        <v>17</v>
      </c>
      <c r="Q79" s="142">
        <f>SUMPRODUCT(D79:P79,GC_Estim1_11_SURF_24_25!D79:P79)/GC_Estim1_11_SURF_24_25!Q79</f>
        <v>28.095812033031851</v>
      </c>
      <c r="R79" s="133"/>
      <c r="S79" s="48"/>
      <c r="T79" s="54"/>
    </row>
    <row r="80" spans="2:21" ht="15" customHeight="1">
      <c r="B80" s="468"/>
      <c r="C80" s="148" t="s">
        <v>94</v>
      </c>
      <c r="D80" s="152">
        <v>25.783829787234044</v>
      </c>
      <c r="E80" s="106">
        <v>28.086764705882352</v>
      </c>
      <c r="F80" s="106">
        <v>26.687558660965689</v>
      </c>
      <c r="G80" s="106">
        <v>25.062220653963774</v>
      </c>
      <c r="H80" s="106">
        <v>22.411235955056181</v>
      </c>
      <c r="I80" s="106">
        <v>28.285097192224622</v>
      </c>
      <c r="J80" s="106">
        <v>26.764922480620154</v>
      </c>
      <c r="K80" s="120">
        <v>25.160735468564649</v>
      </c>
      <c r="L80" s="127">
        <v>27.272841051314142</v>
      </c>
      <c r="M80" s="107">
        <v>25.635006784260515</v>
      </c>
      <c r="N80" s="107">
        <v>21.057324840764331</v>
      </c>
      <c r="O80" s="107">
        <v>17.866666666666667</v>
      </c>
      <c r="P80" s="137">
        <v>17.46875</v>
      </c>
      <c r="Q80" s="142">
        <f>SUMPRODUCT(D80:P80,GC_Estim1_11_SURF_24_25!D80:P80)/GC_Estim1_11_SURF_24_25!Q80</f>
        <v>26.114517153748412</v>
      </c>
      <c r="R80" s="133"/>
      <c r="S80" s="48"/>
      <c r="T80" s="54"/>
    </row>
    <row r="81" spans="2:20" ht="15" customHeight="1">
      <c r="B81" s="468"/>
      <c r="C81" s="148" t="s">
        <v>95</v>
      </c>
      <c r="D81" s="152">
        <v>25.906140007821666</v>
      </c>
      <c r="E81" s="106">
        <v>27.699512195121951</v>
      </c>
      <c r="F81" s="106">
        <v>27.473022671197803</v>
      </c>
      <c r="G81" s="106">
        <v>25.912724948372503</v>
      </c>
      <c r="H81" s="106">
        <v>23.573959255978743</v>
      </c>
      <c r="I81" s="106">
        <v>27.632415254237287</v>
      </c>
      <c r="J81" s="106">
        <v>26.555114116652579</v>
      </c>
      <c r="K81" s="120">
        <v>26.622293138819238</v>
      </c>
      <c r="L81" s="127">
        <v>27.668225292242294</v>
      </c>
      <c r="M81" s="107">
        <v>25.16799363057325</v>
      </c>
      <c r="N81" s="107">
        <v>20.51559633027523</v>
      </c>
      <c r="O81" s="107">
        <v>20.862745098039216</v>
      </c>
      <c r="P81" s="137">
        <v>17.46875</v>
      </c>
      <c r="Q81" s="142">
        <f>SUMPRODUCT(D81:P81,GC_Estim1_11_SURF_24_25!D81:P81)/GC_Estim1_11_SURF_24_25!Q81</f>
        <v>26.653328249741744</v>
      </c>
      <c r="R81" s="133"/>
      <c r="S81" s="48"/>
      <c r="T81" s="54"/>
    </row>
    <row r="82" spans="2:20" ht="15" customHeight="1">
      <c r="B82" s="468"/>
      <c r="C82" s="149" t="s">
        <v>74</v>
      </c>
      <c r="D82" s="128">
        <v>-6.6666666666666652E-2</v>
      </c>
      <c r="E82" s="108">
        <v>-6.2206939668646433E-2</v>
      </c>
      <c r="F82" s="108">
        <v>-7.407407407407407E-2</v>
      </c>
      <c r="G82" s="108">
        <v>0.10344827586206895</v>
      </c>
      <c r="H82" s="108">
        <v>0.21739130434782616</v>
      </c>
      <c r="I82" s="108">
        <v>-9.0909090909090939E-2</v>
      </c>
      <c r="J82" s="108">
        <v>6.8965517241379226E-2</v>
      </c>
      <c r="K82" s="121">
        <v>0.22222222222222232</v>
      </c>
      <c r="L82" s="128">
        <v>8.0000000000000071E-2</v>
      </c>
      <c r="M82" s="108">
        <v>-0.2592592592592593</v>
      </c>
      <c r="N82" s="108">
        <v>-0.16666666666666663</v>
      </c>
      <c r="O82" s="108">
        <v>-0.22222222222222221</v>
      </c>
      <c r="P82" s="138">
        <v>0.11764705882352944</v>
      </c>
      <c r="Q82" s="143">
        <f>Q78/Q79-1</f>
        <v>2.2971262121604274E-2</v>
      </c>
      <c r="R82" s="40"/>
      <c r="S82" s="48"/>
      <c r="T82" s="54"/>
    </row>
    <row r="83" spans="2:20" ht="15" customHeight="1">
      <c r="B83" s="468"/>
      <c r="C83" s="149" t="s">
        <v>121</v>
      </c>
      <c r="D83" s="128">
        <v>8.5951940850277131E-2</v>
      </c>
      <c r="E83" s="108">
        <v>6.8118749672757772E-2</v>
      </c>
      <c r="F83" s="108">
        <v>-6.3233909193574189E-2</v>
      </c>
      <c r="G83" s="108">
        <v>0.27682221148024899</v>
      </c>
      <c r="H83" s="108">
        <v>0.24937330793141466</v>
      </c>
      <c r="I83" s="108">
        <v>6.0629199755650509E-2</v>
      </c>
      <c r="J83" s="108">
        <v>0.15823238503479198</v>
      </c>
      <c r="K83" s="121">
        <v>0.31156738407864037</v>
      </c>
      <c r="L83" s="128">
        <v>-1.0004130145472856E-2</v>
      </c>
      <c r="M83" s="108">
        <v>-0.21981686338855655</v>
      </c>
      <c r="N83" s="108">
        <v>-5.0211736237144589E-2</v>
      </c>
      <c r="O83" s="108">
        <v>-0.21641791044776126</v>
      </c>
      <c r="P83" s="138">
        <v>8.7656529516994652E-2</v>
      </c>
      <c r="Q83" s="143">
        <f>Q78/Q80-1</f>
        <v>0.10058356149374581</v>
      </c>
      <c r="R83" s="40"/>
      <c r="S83" s="48"/>
    </row>
    <row r="84" spans="2:20" ht="15" customHeight="1" thickBot="1">
      <c r="B84" s="469"/>
      <c r="C84" s="150" t="s">
        <v>122</v>
      </c>
      <c r="D84" s="193">
        <v>8.0824854322031348E-2</v>
      </c>
      <c r="E84" s="194">
        <v>8.3051563820794705E-2</v>
      </c>
      <c r="F84" s="194">
        <v>-9.0016402665094253E-2</v>
      </c>
      <c r="G84" s="194">
        <v>0.23491450875025865</v>
      </c>
      <c r="H84" s="194">
        <v>0.18775126808190867</v>
      </c>
      <c r="I84" s="194">
        <v>8.5681426106958058E-2</v>
      </c>
      <c r="J84" s="194">
        <v>0.1673834224105275</v>
      </c>
      <c r="K84" s="195">
        <v>0.23956264127679971</v>
      </c>
      <c r="L84" s="193">
        <v>-2.4151360818565171E-2</v>
      </c>
      <c r="M84" s="194">
        <v>-0.2053399133213123</v>
      </c>
      <c r="N84" s="194">
        <v>-2.5131920221804882E-2</v>
      </c>
      <c r="O84" s="194">
        <v>-0.32894736842105265</v>
      </c>
      <c r="P84" s="196">
        <v>8.7656529516994652E-2</v>
      </c>
      <c r="Q84" s="197">
        <f>Q78/Q81-1</f>
        <v>7.8334684001065913E-2</v>
      </c>
      <c r="R84" s="69"/>
      <c r="S84" s="48"/>
    </row>
    <row r="85" spans="2:20" ht="14.25" customHeight="1">
      <c r="B85" s="470" t="s">
        <v>65</v>
      </c>
      <c r="C85" s="146" t="s">
        <v>108</v>
      </c>
      <c r="D85" s="286">
        <v>17</v>
      </c>
      <c r="E85" s="287">
        <v>20</v>
      </c>
      <c r="F85" s="287">
        <v>15</v>
      </c>
      <c r="G85" s="287">
        <v>15</v>
      </c>
      <c r="H85" s="287">
        <v>22</v>
      </c>
      <c r="I85" s="287">
        <v>22</v>
      </c>
      <c r="J85" s="287">
        <v>16</v>
      </c>
      <c r="K85" s="288">
        <v>18</v>
      </c>
      <c r="L85" s="286">
        <v>16</v>
      </c>
      <c r="M85" s="287">
        <v>13</v>
      </c>
      <c r="N85" s="287">
        <v>13</v>
      </c>
      <c r="O85" s="287">
        <v>13</v>
      </c>
      <c r="P85" s="288">
        <v>12</v>
      </c>
      <c r="Q85" s="270">
        <f>SUMPRODUCT(D85:P85,GC_Estim1_11_SURF_24_25!D85:P85)/GC_Estim1_11_SURF_24_25!Q85</f>
        <v>15.831877973691576</v>
      </c>
      <c r="R85" s="132"/>
      <c r="S85" s="48"/>
      <c r="T85" s="54"/>
    </row>
    <row r="86" spans="2:20" ht="15" customHeight="1">
      <c r="B86" s="468"/>
      <c r="C86" s="147" t="s">
        <v>97</v>
      </c>
      <c r="D86" s="152">
        <v>18</v>
      </c>
      <c r="E86" s="106">
        <v>25</v>
      </c>
      <c r="F86" s="106">
        <v>22</v>
      </c>
      <c r="G86" s="106">
        <v>19</v>
      </c>
      <c r="H86" s="106">
        <v>19</v>
      </c>
      <c r="I86" s="106">
        <v>19</v>
      </c>
      <c r="J86" s="106">
        <v>22</v>
      </c>
      <c r="K86" s="120">
        <v>20</v>
      </c>
      <c r="L86" s="127">
        <v>19</v>
      </c>
      <c r="M86" s="107">
        <v>16</v>
      </c>
      <c r="N86" s="107">
        <v>14</v>
      </c>
      <c r="O86" s="107">
        <v>14</v>
      </c>
      <c r="P86" s="137">
        <v>12</v>
      </c>
      <c r="Q86" s="142">
        <f>SUMPRODUCT(D86:P86,GC_Estim1_11_SURF_24_25!D86:P86)/GC_Estim1_11_SURF_24_25!Q86</f>
        <v>20.183310236134886</v>
      </c>
      <c r="R86" s="133"/>
      <c r="S86" s="48"/>
      <c r="T86" s="54"/>
    </row>
    <row r="87" spans="2:20" ht="15" customHeight="1">
      <c r="B87" s="468"/>
      <c r="C87" s="148" t="s">
        <v>94</v>
      </c>
      <c r="D87" s="152">
        <v>21.031279847182425</v>
      </c>
      <c r="E87" s="106">
        <v>20.058064516129033</v>
      </c>
      <c r="F87" s="106">
        <v>21.404130657682732</v>
      </c>
      <c r="G87" s="106">
        <v>19.204193156104242</v>
      </c>
      <c r="H87" s="106">
        <v>18.797267929214531</v>
      </c>
      <c r="I87" s="106">
        <v>21.886841483581385</v>
      </c>
      <c r="J87" s="106">
        <v>21.57099267369777</v>
      </c>
      <c r="K87" s="120">
        <v>21.150772937161214</v>
      </c>
      <c r="L87" s="127">
        <v>18.786305407550163</v>
      </c>
      <c r="M87" s="107">
        <v>15.311401532221721</v>
      </c>
      <c r="N87" s="107">
        <v>14.277591973244148</v>
      </c>
      <c r="O87" s="107">
        <v>15.370967741935484</v>
      </c>
      <c r="P87" s="137">
        <v>12.048780487804878</v>
      </c>
      <c r="Q87" s="142">
        <f>SUMPRODUCT(D87:P87,GC_Estim1_11_SURF_24_25!D87:P87)/GC_Estim1_11_SURF_24_25!Q87</f>
        <v>20.286455810161549</v>
      </c>
      <c r="R87" s="133"/>
      <c r="S87" s="48"/>
      <c r="T87" s="54"/>
    </row>
    <row r="88" spans="2:20" ht="15" customHeight="1">
      <c r="B88" s="468"/>
      <c r="C88" s="148" t="s">
        <v>95</v>
      </c>
      <c r="D88" s="152">
        <v>21.448826815642459</v>
      </c>
      <c r="E88" s="106">
        <v>20.448692152917506</v>
      </c>
      <c r="F88" s="106">
        <v>21.391570289340738</v>
      </c>
      <c r="G88" s="106">
        <v>20.253709266685981</v>
      </c>
      <c r="H88" s="106">
        <v>18.62002642783732</v>
      </c>
      <c r="I88" s="106">
        <v>23.115759925143696</v>
      </c>
      <c r="J88" s="106">
        <v>21.117188887991603</v>
      </c>
      <c r="K88" s="120">
        <v>22.202237926972909</v>
      </c>
      <c r="L88" s="127">
        <v>18.808084573802358</v>
      </c>
      <c r="M88" s="107">
        <v>16.615294511378849</v>
      </c>
      <c r="N88" s="107">
        <v>14.866379310344827</v>
      </c>
      <c r="O88" s="107">
        <v>15.732673267326733</v>
      </c>
      <c r="P88" s="137">
        <v>12.655737704918034</v>
      </c>
      <c r="Q88" s="142">
        <f>SUMPRODUCT(D88:P88,GC_Estim1_11_SURF_24_25!D88:P88)/GC_Estim1_11_SURF_24_25!Q88</f>
        <v>20.731152972655021</v>
      </c>
      <c r="R88" s="133"/>
      <c r="S88" s="48"/>
      <c r="T88" s="54"/>
    </row>
    <row r="89" spans="2:20" ht="15" customHeight="1">
      <c r="B89" s="468"/>
      <c r="C89" s="149" t="s">
        <v>74</v>
      </c>
      <c r="D89" s="271">
        <v>-5.555555555555558E-2</v>
      </c>
      <c r="E89" s="272">
        <v>-0.19999999999999996</v>
      </c>
      <c r="F89" s="272">
        <v>-0.31818181818181823</v>
      </c>
      <c r="G89" s="272">
        <v>-0.21052631578947367</v>
      </c>
      <c r="H89" s="272">
        <v>0.15789473684210531</v>
      </c>
      <c r="I89" s="272">
        <v>0.15789473684210531</v>
      </c>
      <c r="J89" s="272">
        <v>-0.27272727272727271</v>
      </c>
      <c r="K89" s="273">
        <v>-9.9999999999999978E-2</v>
      </c>
      <c r="L89" s="271">
        <v>-0.15789473684210531</v>
      </c>
      <c r="M89" s="272">
        <v>-0.1875</v>
      </c>
      <c r="N89" s="272">
        <v>-7.1428571428571397E-2</v>
      </c>
      <c r="O89" s="272">
        <v>-7.1428571428571397E-2</v>
      </c>
      <c r="P89" s="450"/>
      <c r="Q89" s="275">
        <f>Q85/Q86-1</f>
        <v>-0.21559556938548119</v>
      </c>
      <c r="R89" s="40"/>
      <c r="S89" s="48"/>
      <c r="T89" s="54"/>
    </row>
    <row r="90" spans="2:20" ht="15" customHeight="1">
      <c r="B90" s="468"/>
      <c r="C90" s="149" t="s">
        <v>121</v>
      </c>
      <c r="D90" s="271">
        <v>-0.19168019618751342</v>
      </c>
      <c r="E90" s="272">
        <v>-2.8948214860083921E-3</v>
      </c>
      <c r="F90" s="272">
        <v>-0.29920068981563863</v>
      </c>
      <c r="G90" s="272">
        <v>-0.21892058270450676</v>
      </c>
      <c r="H90" s="272">
        <v>0.17038284940375914</v>
      </c>
      <c r="I90" s="272">
        <v>5.1701620128012937E-3</v>
      </c>
      <c r="J90" s="272">
        <v>-0.25826315728578719</v>
      </c>
      <c r="K90" s="273">
        <v>-0.14896727162275047</v>
      </c>
      <c r="L90" s="271">
        <v>-0.14831577295822918</v>
      </c>
      <c r="M90" s="272">
        <v>-0.15095950082411114</v>
      </c>
      <c r="N90" s="272">
        <v>-8.9482314359334736E-2</v>
      </c>
      <c r="O90" s="272">
        <v>-0.1542497376705142</v>
      </c>
      <c r="P90" s="274">
        <v>-4.0485829959514552E-3</v>
      </c>
      <c r="Q90" s="275">
        <f>Q85/Q87-1</f>
        <v>-0.21958383850562313</v>
      </c>
      <c r="R90" s="40"/>
      <c r="S90" s="48"/>
    </row>
    <row r="91" spans="2:20" ht="15" customHeight="1" thickBot="1">
      <c r="B91" s="469"/>
      <c r="C91" s="150" t="s">
        <v>122</v>
      </c>
      <c r="D91" s="281">
        <v>-0.2074158579339157</v>
      </c>
      <c r="E91" s="282">
        <v>-2.1942339860277493E-2</v>
      </c>
      <c r="F91" s="282">
        <v>-0.29878920541544396</v>
      </c>
      <c r="G91" s="282">
        <v>-0.2593949186052289</v>
      </c>
      <c r="H91" s="282">
        <v>0.18152356470931474</v>
      </c>
      <c r="I91" s="282">
        <v>-4.8268364473280867E-2</v>
      </c>
      <c r="J91" s="282">
        <v>-0.24232339423271998</v>
      </c>
      <c r="K91" s="283">
        <v>-0.18927091677851637</v>
      </c>
      <c r="L91" s="276">
        <v>-0.14930199631884455</v>
      </c>
      <c r="M91" s="277">
        <v>-0.21758834963189755</v>
      </c>
      <c r="N91" s="277">
        <v>-0.12554363583647432</v>
      </c>
      <c r="O91" s="277">
        <v>-0.17369414726242927</v>
      </c>
      <c r="P91" s="279">
        <v>-5.1813471502590747E-2</v>
      </c>
      <c r="Q91" s="285">
        <f>Q85/Q88-1</f>
        <v>-0.23632428960539376</v>
      </c>
      <c r="R91" s="70"/>
      <c r="S91" s="48"/>
    </row>
    <row r="92" spans="2:20" ht="15" customHeight="1">
      <c r="B92" s="470" t="s">
        <v>66</v>
      </c>
      <c r="C92" s="146" t="s">
        <v>108</v>
      </c>
      <c r="D92" s="286">
        <v>33</v>
      </c>
      <c r="E92" s="287">
        <v>20</v>
      </c>
      <c r="F92" s="287">
        <v>30</v>
      </c>
      <c r="G92" s="287">
        <v>22</v>
      </c>
      <c r="H92" s="287">
        <v>22</v>
      </c>
      <c r="I92" s="287">
        <v>29</v>
      </c>
      <c r="J92" s="287">
        <v>25</v>
      </c>
      <c r="K92" s="288">
        <v>29</v>
      </c>
      <c r="L92" s="286">
        <v>17</v>
      </c>
      <c r="M92" s="287">
        <v>17</v>
      </c>
      <c r="N92" s="287">
        <v>12</v>
      </c>
      <c r="O92" s="287"/>
      <c r="P92" s="288"/>
      <c r="Q92" s="270">
        <f>SUMPRODUCT(D92:P92,GC_Estim1_11_SURF_24_25!D92:P92)/GC_Estim1_11_SURF_24_25!Q92</f>
        <v>24.951909857134318</v>
      </c>
      <c r="R92" s="132"/>
      <c r="S92" s="48"/>
      <c r="T92" s="54"/>
    </row>
    <row r="93" spans="2:20" ht="15" customHeight="1">
      <c r="B93" s="468"/>
      <c r="C93" s="147" t="s">
        <v>97</v>
      </c>
      <c r="D93" s="152">
        <v>19</v>
      </c>
      <c r="E93" s="106">
        <v>20</v>
      </c>
      <c r="F93" s="106">
        <v>27</v>
      </c>
      <c r="G93" s="106">
        <v>22</v>
      </c>
      <c r="H93" s="106">
        <v>21</v>
      </c>
      <c r="I93" s="106">
        <v>31</v>
      </c>
      <c r="J93" s="106">
        <v>23</v>
      </c>
      <c r="K93" s="120">
        <v>22</v>
      </c>
      <c r="L93" s="127">
        <v>21</v>
      </c>
      <c r="M93" s="107">
        <v>22</v>
      </c>
      <c r="N93" s="107">
        <v>14</v>
      </c>
      <c r="O93" s="107"/>
      <c r="P93" s="137"/>
      <c r="Q93" s="142">
        <f>SUMPRODUCT(D93:P93,GC_Estim1_11_SURF_24_25!D93:P93)/GC_Estim1_11_SURF_24_25!Q93</f>
        <v>23.700859582488505</v>
      </c>
      <c r="R93" s="133"/>
      <c r="S93" s="48"/>
      <c r="T93" s="54"/>
    </row>
    <row r="94" spans="2:20" ht="15" customHeight="1">
      <c r="B94" s="468"/>
      <c r="C94" s="148" t="s">
        <v>94</v>
      </c>
      <c r="D94" s="152">
        <v>21.494703389830509</v>
      </c>
      <c r="E94" s="106">
        <v>19.671641791044777</v>
      </c>
      <c r="F94" s="106">
        <v>22.392093541202673</v>
      </c>
      <c r="G94" s="106">
        <v>20.73309823826246</v>
      </c>
      <c r="H94" s="106">
        <v>22.387263339070568</v>
      </c>
      <c r="I94" s="106">
        <v>26.682834247153099</v>
      </c>
      <c r="J94" s="106">
        <v>22.310502283105023</v>
      </c>
      <c r="K94" s="120">
        <v>23.604814004376369</v>
      </c>
      <c r="L94" s="127">
        <v>20.879939209726444</v>
      </c>
      <c r="M94" s="107">
        <v>21.433070866141733</v>
      </c>
      <c r="N94" s="107">
        <v>14.347222222222221</v>
      </c>
      <c r="O94" s="107"/>
      <c r="P94" s="137"/>
      <c r="Q94" s="142">
        <f>SUMPRODUCT(D94:P94,GC_Estim1_11_SURF_24_25!D94:P94)/GC_Estim1_11_SURF_24_25!Q94</f>
        <v>21.954511683269992</v>
      </c>
      <c r="R94" s="133"/>
      <c r="S94" s="48"/>
      <c r="T94" s="54"/>
    </row>
    <row r="95" spans="2:20" ht="15" customHeight="1">
      <c r="B95" s="468"/>
      <c r="C95" s="148" t="s">
        <v>95</v>
      </c>
      <c r="D95" s="152">
        <v>23.22417251755266</v>
      </c>
      <c r="E95" s="106">
        <v>20.645980253878701</v>
      </c>
      <c r="F95" s="106">
        <v>24.491321488915059</v>
      </c>
      <c r="G95" s="106">
        <v>23.870462149401206</v>
      </c>
      <c r="H95" s="106">
        <v>23.980237154150199</v>
      </c>
      <c r="I95" s="106">
        <v>27.554447312837361</v>
      </c>
      <c r="J95" s="106">
        <v>24.315930747550663</v>
      </c>
      <c r="K95" s="120">
        <v>25.31165092217724</v>
      </c>
      <c r="L95" s="127">
        <v>22.700569925471285</v>
      </c>
      <c r="M95" s="107">
        <v>24.148907103825138</v>
      </c>
      <c r="N95" s="107">
        <v>15.480263157894736</v>
      </c>
      <c r="O95" s="107">
        <v>0</v>
      </c>
      <c r="P95" s="137">
        <v>14.5</v>
      </c>
      <c r="Q95" s="142">
        <f>SUMPRODUCT(D95:P95,GC_Estim1_11_SURF_24_25!D95:P95)/GC_Estim1_11_SURF_24_25!Q95</f>
        <v>24.432846591391463</v>
      </c>
      <c r="R95" s="133"/>
      <c r="S95" s="48"/>
      <c r="T95" s="54"/>
    </row>
    <row r="96" spans="2:20" ht="15" customHeight="1">
      <c r="B96" s="468"/>
      <c r="C96" s="149" t="s">
        <v>74</v>
      </c>
      <c r="D96" s="271">
        <v>0.73684210526315796</v>
      </c>
      <c r="E96" s="272">
        <v>0</v>
      </c>
      <c r="F96" s="272">
        <v>0.11111111111111116</v>
      </c>
      <c r="G96" s="272">
        <v>0</v>
      </c>
      <c r="H96" s="272">
        <v>4.7619047619047672E-2</v>
      </c>
      <c r="I96" s="272">
        <v>-6.4516129032258118E-2</v>
      </c>
      <c r="J96" s="272">
        <v>8.6956521739130377E-2</v>
      </c>
      <c r="K96" s="273">
        <v>0.31818181818181812</v>
      </c>
      <c r="L96" s="271">
        <v>-0.19047619047619047</v>
      </c>
      <c r="M96" s="272">
        <v>-0.22727272727272729</v>
      </c>
      <c r="N96" s="272">
        <v>-0.1428571428571429</v>
      </c>
      <c r="O96" s="450"/>
      <c r="P96" s="450"/>
      <c r="Q96" s="275">
        <f>Q92/Q93-1</f>
        <v>5.2785016943864616E-2</v>
      </c>
      <c r="R96" s="40"/>
      <c r="S96" s="48"/>
      <c r="T96" s="54"/>
    </row>
    <row r="97" spans="2:19" ht="15" customHeight="1">
      <c r="B97" s="468"/>
      <c r="C97" s="149" t="s">
        <v>121</v>
      </c>
      <c r="D97" s="271">
        <v>0.5352619387905968</v>
      </c>
      <c r="E97" s="272">
        <v>1.6691957511380862E-2</v>
      </c>
      <c r="F97" s="272">
        <v>0.33975860474137276</v>
      </c>
      <c r="G97" s="272">
        <v>6.1105279451167727E-2</v>
      </c>
      <c r="H97" s="272">
        <v>-1.7298377796571063E-2</v>
      </c>
      <c r="I97" s="272">
        <v>8.6841065359993808E-2</v>
      </c>
      <c r="J97" s="272">
        <v>0.12054850593532529</v>
      </c>
      <c r="K97" s="273">
        <v>0.22856295307488361</v>
      </c>
      <c r="L97" s="271">
        <v>-0.18582138438023144</v>
      </c>
      <c r="M97" s="272">
        <v>-0.20683321087435713</v>
      </c>
      <c r="N97" s="272">
        <v>-0.16360116166505323</v>
      </c>
      <c r="O97" s="450"/>
      <c r="P97" s="274">
        <v>0</v>
      </c>
      <c r="Q97" s="275">
        <f>Q92/Q94-1</f>
        <v>0.13652766306564845</v>
      </c>
      <c r="R97" s="40"/>
      <c r="S97" s="48"/>
    </row>
    <row r="98" spans="2:19" ht="15" customHeight="1" thickBot="1">
      <c r="B98" s="471"/>
      <c r="C98" s="151" t="s">
        <v>122</v>
      </c>
      <c r="D98" s="281">
        <v>0.42093329590360384</v>
      </c>
      <c r="E98" s="282">
        <v>-3.128842738078963E-2</v>
      </c>
      <c r="F98" s="282">
        <v>0.22492369444328308</v>
      </c>
      <c r="G98" s="282">
        <v>-7.835885780904861E-2</v>
      </c>
      <c r="H98" s="282">
        <v>-8.2577880336245357E-2</v>
      </c>
      <c r="I98" s="282">
        <v>5.2461683253910429E-2</v>
      </c>
      <c r="J98" s="282">
        <v>2.8132554725187386E-2</v>
      </c>
      <c r="K98" s="283">
        <v>0.14571744407991782</v>
      </c>
      <c r="L98" s="281">
        <v>-0.25112012359984548</v>
      </c>
      <c r="M98" s="282">
        <v>-0.29603439497652317</v>
      </c>
      <c r="N98" s="282">
        <v>-0.22481937951551212</v>
      </c>
      <c r="O98" s="454"/>
      <c r="P98" s="284">
        <v>-1</v>
      </c>
      <c r="Q98" s="285">
        <f>Q92/Q95-1</f>
        <v>2.1244485934182489E-2</v>
      </c>
      <c r="R98" s="40"/>
      <c r="S98" s="48"/>
    </row>
    <row r="99" spans="2:19" ht="16.5" customHeight="1">
      <c r="B99" s="34" t="s">
        <v>96</v>
      </c>
      <c r="C99" s="30"/>
      <c r="D99" s="31"/>
      <c r="E99" s="31"/>
      <c r="F99" s="31"/>
      <c r="G99" s="31"/>
      <c r="H99" s="31"/>
      <c r="I99" s="31"/>
      <c r="J99" s="31"/>
      <c r="K99" s="31"/>
      <c r="L99" s="32"/>
      <c r="M99" s="32"/>
      <c r="N99" s="32"/>
      <c r="O99" s="32"/>
      <c r="P99" s="32"/>
      <c r="Q99" s="73"/>
      <c r="S99" s="48"/>
    </row>
    <row r="100" spans="2:19" ht="15" customHeight="1">
      <c r="B100" s="34" t="s">
        <v>179</v>
      </c>
      <c r="S100" s="48"/>
    </row>
    <row r="101" spans="2:19" ht="13.5" customHeight="1">
      <c r="B101" s="35" t="s">
        <v>181</v>
      </c>
      <c r="S101" s="48"/>
    </row>
    <row r="102" spans="2:19" ht="15" customHeight="1">
      <c r="B102" s="35"/>
      <c r="Q102" s="74"/>
      <c r="S102" s="48"/>
    </row>
    <row r="103" spans="2:19" ht="13.5" customHeight="1">
      <c r="B103" s="35"/>
      <c r="C103" s="35"/>
      <c r="S103" s="48"/>
    </row>
    <row r="104" spans="2:19" ht="15" customHeight="1">
      <c r="S104" s="48"/>
    </row>
    <row r="105" spans="2:19" ht="13.5" customHeight="1">
      <c r="S105" s="48"/>
    </row>
    <row r="106" spans="2:19" ht="13.5" customHeight="1">
      <c r="S106" s="48"/>
    </row>
    <row r="107" spans="2:19" ht="13.5" customHeight="1">
      <c r="S107" s="48"/>
    </row>
    <row r="108" spans="2:19" ht="13.5" customHeight="1">
      <c r="S108" s="48"/>
    </row>
    <row r="109" spans="2:19" ht="13.5" customHeight="1">
      <c r="S109" s="48"/>
    </row>
    <row r="110" spans="2:19" ht="14.25" customHeight="1">
      <c r="S110" s="48"/>
    </row>
    <row r="111" spans="2:19" ht="19.5" customHeight="1">
      <c r="S111" s="48"/>
    </row>
    <row r="112" spans="2:19">
      <c r="S112" s="48"/>
    </row>
    <row r="113" spans="19:19">
      <c r="S113" s="48"/>
    </row>
    <row r="114" spans="19:19">
      <c r="S114" s="48"/>
    </row>
    <row r="115" spans="19:19">
      <c r="S115" s="48"/>
    </row>
    <row r="116" spans="19:19">
      <c r="S116" s="48"/>
    </row>
    <row r="117" spans="19:19">
      <c r="S117" s="48"/>
    </row>
    <row r="118" spans="19:19">
      <c r="S118" s="48"/>
    </row>
    <row r="119" spans="19:19">
      <c r="S119" s="48"/>
    </row>
    <row r="120" spans="19:19">
      <c r="S120" s="48"/>
    </row>
    <row r="121" spans="19:19">
      <c r="S121" s="48"/>
    </row>
    <row r="122" spans="19:19" ht="13.4" customHeight="1">
      <c r="S122" s="48"/>
    </row>
    <row r="123" spans="19:19">
      <c r="S123" s="48"/>
    </row>
    <row r="124" spans="19:19">
      <c r="S124" s="48"/>
    </row>
    <row r="125" spans="19:19">
      <c r="S125" s="48"/>
    </row>
    <row r="126" spans="19:19">
      <c r="S126" s="48"/>
    </row>
    <row r="127" spans="19:19">
      <c r="S127" s="48"/>
    </row>
    <row r="128" spans="19:19">
      <c r="S128" s="48"/>
    </row>
    <row r="129" spans="19:19">
      <c r="S129" s="48"/>
    </row>
    <row r="130" spans="19:19">
      <c r="S130" s="48"/>
    </row>
    <row r="131" spans="19:19">
      <c r="S131" s="48"/>
    </row>
    <row r="132" spans="19:19">
      <c r="S132" s="48"/>
    </row>
    <row r="133" spans="19:19">
      <c r="S133" s="48"/>
    </row>
    <row r="134" spans="19:19">
      <c r="S134" s="48"/>
    </row>
    <row r="135" spans="19:19">
      <c r="S135" s="48"/>
    </row>
    <row r="136" spans="19:19">
      <c r="S136" s="48"/>
    </row>
    <row r="137" spans="19:19">
      <c r="S137" s="48"/>
    </row>
    <row r="138" spans="19:19">
      <c r="S138" s="48"/>
    </row>
    <row r="139" spans="19:19">
      <c r="S139" s="48"/>
    </row>
  </sheetData>
  <sheetProtection selectLockedCells="1" selectUnlockedCells="1"/>
  <mergeCells count="13">
    <mergeCell ref="B92:B98"/>
    <mergeCell ref="B50:B56"/>
    <mergeCell ref="B57:B63"/>
    <mergeCell ref="B64:B70"/>
    <mergeCell ref="B71:B77"/>
    <mergeCell ref="B78:B84"/>
    <mergeCell ref="B85:B91"/>
    <mergeCell ref="B43:B49"/>
    <mergeCell ref="A1:M1"/>
    <mergeCell ref="B15:B21"/>
    <mergeCell ref="B22:B28"/>
    <mergeCell ref="B29:B35"/>
    <mergeCell ref="B36:B42"/>
  </mergeCells>
  <hyperlinks>
    <hyperlink ref="T1" location="'Sommaire&amp;Méthodo'!A1" display="Retour Sommaire" xr:uid="{00000000-0004-0000-0400-000000000000}"/>
  </hyperlinks>
  <pageMargins left="0.74803149606299213" right="0.74803149606299213" top="0.98425196850393704" bottom="0.98425196850393704" header="0.51181102362204722" footer="0.51181102362204722"/>
  <pageSetup paperSize="9" firstPageNumber="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72"/>
  <sheetViews>
    <sheetView showGridLines="0" topLeftCell="A46" zoomScale="146" zoomScaleNormal="146" workbookViewId="0">
      <selection activeCell="D20" sqref="D20"/>
    </sheetView>
  </sheetViews>
  <sheetFormatPr baseColWidth="10" defaultColWidth="11" defaultRowHeight="16"/>
  <cols>
    <col min="1" max="1" width="11.453125" style="290" customWidth="1"/>
    <col min="2" max="2" width="10.453125" style="290" customWidth="1"/>
    <col min="3" max="4" width="11.1796875" style="290" customWidth="1"/>
    <col min="5" max="5" width="10.81640625" style="290" customWidth="1"/>
    <col min="6" max="6" width="13.453125" style="25" customWidth="1"/>
    <col min="7" max="10" width="11" style="25" customWidth="1"/>
    <col min="11" max="11" width="12" style="25" customWidth="1"/>
    <col min="12" max="13" width="11.453125" style="25" customWidth="1"/>
    <col min="14" max="16384" width="11" style="25"/>
  </cols>
  <sheetData>
    <row r="1" spans="1:27">
      <c r="R1" s="105" t="s">
        <v>91</v>
      </c>
    </row>
    <row r="6" spans="1:27" s="293" customFormat="1" ht="18.5">
      <c r="A6" s="291"/>
      <c r="B6" s="291"/>
      <c r="C6" s="292"/>
      <c r="D6" s="292"/>
      <c r="E6" s="292"/>
    </row>
    <row r="7" spans="1:27" s="293" customFormat="1" ht="18.5">
      <c r="A7" s="291" t="s">
        <v>135</v>
      </c>
      <c r="B7" s="291"/>
      <c r="C7" s="292"/>
      <c r="D7" s="292"/>
      <c r="E7" s="292"/>
    </row>
    <row r="9" spans="1:27" s="294" customFormat="1" ht="18.5">
      <c r="A9" s="472" t="s">
        <v>136</v>
      </c>
      <c r="B9" s="472"/>
      <c r="C9" s="472"/>
      <c r="D9" s="472"/>
      <c r="E9" s="472"/>
      <c r="F9" s="472"/>
      <c r="H9" s="20"/>
    </row>
    <row r="10" spans="1:27" s="294" customFormat="1" ht="12.75" customHeight="1" thickBot="1">
      <c r="A10" s="295"/>
      <c r="B10" s="295"/>
      <c r="C10" s="296"/>
      <c r="D10" s="296"/>
      <c r="E10" s="295"/>
    </row>
    <row r="11" spans="1:27" s="294" customFormat="1" ht="31.5" customHeight="1" thickTop="1" thickBot="1">
      <c r="A11" s="297" t="s">
        <v>137</v>
      </c>
      <c r="B11" s="298" t="s">
        <v>138</v>
      </c>
      <c r="C11" s="299" t="s">
        <v>139</v>
      </c>
      <c r="D11" s="299" t="s">
        <v>140</v>
      </c>
      <c r="E11" s="300" t="s">
        <v>141</v>
      </c>
      <c r="F11" s="301"/>
      <c r="G11" s="301"/>
      <c r="H11" s="301"/>
      <c r="I11" s="301"/>
      <c r="J11" s="301"/>
      <c r="K11" s="301"/>
    </row>
    <row r="12" spans="1:27" s="294" customFormat="1" ht="13" thickTop="1">
      <c r="A12" s="302" t="s">
        <v>142</v>
      </c>
      <c r="B12" s="303">
        <v>238.41756073781295</v>
      </c>
      <c r="C12" s="303">
        <v>219.18181818181819</v>
      </c>
      <c r="D12" s="303">
        <v>196.46</v>
      </c>
      <c r="E12" s="304">
        <f t="shared" ref="E12:E15" si="0">D12/C12-1</f>
        <v>-0.10366652841144752</v>
      </c>
      <c r="F12" s="305"/>
      <c r="G12" s="306"/>
      <c r="H12" s="306"/>
      <c r="I12" s="306"/>
      <c r="J12" s="306"/>
      <c r="K12" s="306"/>
      <c r="L12" s="306"/>
      <c r="M12" s="306"/>
    </row>
    <row r="13" spans="1:27" s="294" customFormat="1" ht="12.5">
      <c r="A13" s="307" t="s">
        <v>143</v>
      </c>
      <c r="B13" s="308">
        <v>238.2852538163591</v>
      </c>
      <c r="C13" s="308">
        <v>208.43000000000004</v>
      </c>
      <c r="D13" s="308">
        <v>195.29</v>
      </c>
      <c r="E13" s="309">
        <f t="shared" si="0"/>
        <v>-6.304274816485167E-2</v>
      </c>
      <c r="F13" s="305"/>
      <c r="G13" s="306"/>
      <c r="H13" s="306"/>
      <c r="I13" s="306"/>
      <c r="J13" s="306"/>
      <c r="K13" s="306"/>
      <c r="L13" s="306"/>
      <c r="M13" s="306"/>
    </row>
    <row r="14" spans="1:27" s="294" customFormat="1" ht="12.5">
      <c r="A14" s="307" t="s">
        <v>144</v>
      </c>
      <c r="B14" s="308">
        <v>242.58406320346324</v>
      </c>
      <c r="C14" s="308">
        <v>214.64380952380955</v>
      </c>
      <c r="D14" s="310">
        <v>188.23</v>
      </c>
      <c r="E14" s="309">
        <f t="shared" si="0"/>
        <v>-0.12305879951725129</v>
      </c>
      <c r="F14" s="305"/>
      <c r="G14" s="306"/>
      <c r="H14" s="306"/>
      <c r="I14" s="306"/>
      <c r="J14" s="306"/>
      <c r="K14" s="306"/>
      <c r="L14" s="306"/>
      <c r="M14" s="306"/>
      <c r="P14" s="311"/>
      <c r="Q14" s="311"/>
      <c r="R14" s="311"/>
      <c r="S14" s="311"/>
      <c r="T14" s="311"/>
      <c r="U14" s="311"/>
      <c r="V14" s="311"/>
      <c r="W14" s="311"/>
      <c r="X14" s="311"/>
      <c r="Y14" s="311"/>
      <c r="Z14" s="311"/>
      <c r="AA14" s="311"/>
    </row>
    <row r="15" spans="1:27" s="294" customFormat="1" ht="12.5">
      <c r="A15" s="307" t="s">
        <v>145</v>
      </c>
      <c r="B15" s="308">
        <v>253.78057759103643</v>
      </c>
      <c r="C15" s="308">
        <v>223.77500000000001</v>
      </c>
      <c r="D15" s="308">
        <v>187.24</v>
      </c>
      <c r="E15" s="309">
        <f t="shared" si="0"/>
        <v>-0.16326667411462403</v>
      </c>
      <c r="F15" s="306"/>
      <c r="G15" s="306"/>
      <c r="H15" s="306"/>
      <c r="I15" s="306"/>
      <c r="J15" s="306"/>
      <c r="K15" s="306"/>
      <c r="L15" s="306"/>
      <c r="M15" s="306"/>
    </row>
    <row r="16" spans="1:27" s="294" customFormat="1" ht="12.5">
      <c r="A16" s="307" t="s">
        <v>146</v>
      </c>
      <c r="B16" s="308">
        <v>252.75763157894738</v>
      </c>
      <c r="C16" s="308">
        <v>217.42500000000001</v>
      </c>
      <c r="D16" s="308"/>
      <c r="E16" s="309"/>
      <c r="F16" s="305"/>
      <c r="G16" s="306"/>
      <c r="H16" s="306"/>
      <c r="I16" s="306"/>
      <c r="J16" s="306"/>
      <c r="K16" s="306"/>
      <c r="L16" s="306"/>
      <c r="M16" s="306"/>
    </row>
    <row r="17" spans="1:27" s="294" customFormat="1" ht="12.5">
      <c r="A17" s="307" t="s">
        <v>147</v>
      </c>
      <c r="B17" s="308">
        <v>246.96109502262442</v>
      </c>
      <c r="C17" s="308">
        <v>225.55</v>
      </c>
      <c r="D17" s="308"/>
      <c r="E17" s="309"/>
      <c r="F17" s="306"/>
      <c r="G17" s="306"/>
      <c r="H17" s="306"/>
      <c r="I17" s="306"/>
      <c r="J17" s="306"/>
      <c r="K17" s="306"/>
      <c r="L17" s="306"/>
      <c r="M17" s="306"/>
    </row>
    <row r="18" spans="1:27" s="313" customFormat="1" ht="13" customHeight="1">
      <c r="A18" s="307" t="s">
        <v>148</v>
      </c>
      <c r="B18" s="308">
        <v>244.57358450046686</v>
      </c>
      <c r="C18" s="308">
        <v>224.35888888888891</v>
      </c>
      <c r="D18" s="308"/>
      <c r="E18" s="309"/>
      <c r="F18" s="312"/>
      <c r="G18" s="312"/>
      <c r="H18" s="312"/>
      <c r="I18" s="312"/>
      <c r="J18" s="312"/>
      <c r="K18" s="312"/>
      <c r="L18" s="312"/>
      <c r="M18" s="312"/>
    </row>
    <row r="19" spans="1:27" s="294" customFormat="1" ht="13" customHeight="1">
      <c r="A19" s="307" t="s">
        <v>149</v>
      </c>
      <c r="B19" s="308">
        <v>240.87298421052628</v>
      </c>
      <c r="C19" s="308">
        <v>224.84299999999993</v>
      </c>
      <c r="D19" s="308"/>
      <c r="E19" s="309"/>
      <c r="F19" s="306"/>
      <c r="G19" s="306"/>
      <c r="H19" s="306"/>
      <c r="I19" s="306"/>
      <c r="J19" s="306"/>
      <c r="K19" s="306"/>
      <c r="L19" s="306"/>
      <c r="M19" s="306"/>
    </row>
    <row r="20" spans="1:27" s="294" customFormat="1" ht="13" customHeight="1">
      <c r="A20" s="307" t="s">
        <v>150</v>
      </c>
      <c r="B20" s="308">
        <v>251.50572408026756</v>
      </c>
      <c r="C20" s="308">
        <v>215.52500000000003</v>
      </c>
      <c r="D20" s="308"/>
      <c r="E20" s="309"/>
      <c r="F20" s="306"/>
      <c r="G20" s="306"/>
      <c r="H20" s="306"/>
      <c r="I20" s="306"/>
      <c r="J20" s="306"/>
      <c r="K20" s="306"/>
      <c r="L20" s="306"/>
      <c r="M20" s="305"/>
    </row>
    <row r="21" spans="1:27" s="294" customFormat="1" ht="13" customHeight="1">
      <c r="A21" s="307" t="s">
        <v>151</v>
      </c>
      <c r="B21" s="308">
        <v>248.99460401002506</v>
      </c>
      <c r="C21" s="308">
        <v>206.25078947368422</v>
      </c>
      <c r="D21" s="308"/>
      <c r="E21" s="309"/>
      <c r="F21" s="306"/>
      <c r="G21" s="306"/>
      <c r="H21" s="306"/>
      <c r="I21" s="306"/>
      <c r="J21" s="306"/>
      <c r="K21" s="306"/>
      <c r="L21" s="306"/>
      <c r="M21" s="306"/>
      <c r="P21" s="314"/>
      <c r="Q21" s="314"/>
      <c r="R21" s="314"/>
      <c r="S21" s="314"/>
      <c r="T21" s="314"/>
      <c r="U21" s="314"/>
      <c r="V21" s="314"/>
      <c r="W21" s="314"/>
      <c r="X21" s="314"/>
      <c r="Y21" s="314"/>
      <c r="Z21" s="314"/>
      <c r="AA21" s="314"/>
    </row>
    <row r="22" spans="1:27" s="294" customFormat="1" ht="13" customHeight="1">
      <c r="A22" s="307" t="s">
        <v>152</v>
      </c>
      <c r="B22" s="308">
        <v>253.65218295739351</v>
      </c>
      <c r="C22" s="308">
        <v>192.38444444444445</v>
      </c>
      <c r="D22" s="308"/>
      <c r="E22" s="309"/>
      <c r="F22" s="305"/>
      <c r="G22" s="306"/>
      <c r="H22" s="306"/>
      <c r="I22" s="306"/>
      <c r="J22" s="306"/>
      <c r="K22" s="306"/>
      <c r="L22" s="306"/>
      <c r="M22" s="306"/>
    </row>
    <row r="23" spans="1:27" s="294" customFormat="1" ht="13" customHeight="1" thickBot="1">
      <c r="A23" s="315" t="s">
        <v>153</v>
      </c>
      <c r="B23" s="316">
        <v>249.53438585825251</v>
      </c>
      <c r="C23" s="316">
        <v>194.76444444444445</v>
      </c>
      <c r="D23" s="316"/>
      <c r="E23" s="316"/>
      <c r="F23" s="306"/>
      <c r="G23" s="306"/>
      <c r="H23" s="306"/>
      <c r="I23" s="306"/>
      <c r="J23" s="306"/>
      <c r="K23" s="306"/>
      <c r="L23" s="306"/>
      <c r="M23" s="306"/>
    </row>
    <row r="24" spans="1:27" ht="16.5" thickTop="1">
      <c r="A24" s="317" t="s">
        <v>154</v>
      </c>
      <c r="B24" s="318"/>
      <c r="C24" s="317"/>
      <c r="D24" s="317"/>
      <c r="E24" s="317"/>
      <c r="F24" s="319"/>
      <c r="G24" s="320"/>
      <c r="H24" s="320"/>
      <c r="I24" s="320"/>
      <c r="J24" s="320"/>
      <c r="K24" s="320"/>
      <c r="P24" s="314"/>
      <c r="Q24" s="321"/>
      <c r="R24" s="314"/>
      <c r="S24" s="314"/>
      <c r="T24" s="314"/>
      <c r="U24" s="314"/>
      <c r="V24" s="314"/>
      <c r="W24" s="314"/>
      <c r="X24" s="314"/>
      <c r="Y24" s="314"/>
      <c r="Z24" s="314"/>
      <c r="AA24" s="314"/>
    </row>
    <row r="25" spans="1:27">
      <c r="A25" s="317"/>
      <c r="B25" s="317"/>
      <c r="C25" s="317"/>
      <c r="D25" s="317"/>
      <c r="E25" s="317"/>
      <c r="F25" s="320"/>
      <c r="G25" s="320" t="s">
        <v>154</v>
      </c>
      <c r="H25" s="320"/>
      <c r="I25" s="320"/>
      <c r="J25" s="320"/>
      <c r="K25" s="320"/>
      <c r="P25" s="314"/>
      <c r="Q25" s="321"/>
    </row>
    <row r="26" spans="1:27" ht="24" customHeight="1">
      <c r="A26" s="317"/>
      <c r="B26" s="317"/>
      <c r="C26" s="317"/>
      <c r="D26" s="317"/>
      <c r="E26" s="317"/>
      <c r="F26" s="320"/>
      <c r="G26" s="320"/>
      <c r="H26" s="320"/>
      <c r="I26" s="320"/>
      <c r="J26" s="320"/>
      <c r="K26" s="320"/>
      <c r="P26" s="314"/>
      <c r="Q26" s="321"/>
    </row>
    <row r="27" spans="1:27" ht="27.65" customHeight="1">
      <c r="A27" s="473" t="s">
        <v>155</v>
      </c>
      <c r="B27" s="473"/>
      <c r="C27" s="473"/>
      <c r="D27" s="473"/>
      <c r="E27" s="473"/>
      <c r="F27" s="473"/>
      <c r="G27" s="320"/>
      <c r="H27" s="320"/>
      <c r="I27" s="320"/>
      <c r="J27" s="320"/>
      <c r="K27" s="320"/>
      <c r="P27" s="314"/>
      <c r="Q27" s="321"/>
    </row>
    <row r="28" spans="1:27" ht="14" thickBot="1">
      <c r="A28" s="322"/>
      <c r="B28" s="322"/>
      <c r="C28" s="318"/>
      <c r="D28" s="318"/>
      <c r="E28" s="322"/>
      <c r="F28" s="320"/>
      <c r="G28" s="320"/>
      <c r="H28" s="320"/>
      <c r="I28" s="320"/>
      <c r="J28" s="320"/>
      <c r="K28" s="320"/>
      <c r="P28" s="314"/>
      <c r="Q28" s="321"/>
    </row>
    <row r="29" spans="1:27" ht="33.5" customHeight="1" thickTop="1" thickBot="1">
      <c r="A29" s="297" t="s">
        <v>137</v>
      </c>
      <c r="B29" s="298" t="s">
        <v>138</v>
      </c>
      <c r="C29" s="299" t="s">
        <v>139</v>
      </c>
      <c r="D29" s="299" t="s">
        <v>140</v>
      </c>
      <c r="E29" s="300" t="s">
        <v>141</v>
      </c>
      <c r="F29" s="320"/>
      <c r="G29" s="320"/>
      <c r="H29" s="320"/>
      <c r="I29" s="320"/>
      <c r="J29" s="320"/>
      <c r="K29" s="320"/>
      <c r="P29" s="314"/>
      <c r="Q29" s="321"/>
    </row>
    <row r="30" spans="1:27" ht="14" thickTop="1">
      <c r="A30" s="302" t="s">
        <v>142</v>
      </c>
      <c r="B30" s="323">
        <v>313.39999999999998</v>
      </c>
      <c r="C30" s="323">
        <v>297.94</v>
      </c>
      <c r="D30" s="323">
        <v>277.5</v>
      </c>
      <c r="E30" s="324">
        <f t="shared" ref="E30:E33" si="1">D30/C30-1</f>
        <v>-6.8604416996710715E-2</v>
      </c>
      <c r="F30" s="325"/>
      <c r="G30" s="320"/>
      <c r="H30" s="320"/>
      <c r="I30" s="320"/>
      <c r="J30" s="320"/>
      <c r="K30" s="320"/>
      <c r="P30" s="314"/>
      <c r="Q30" s="321"/>
    </row>
    <row r="31" spans="1:27" ht="13.5">
      <c r="A31" s="307" t="s">
        <v>143</v>
      </c>
      <c r="B31" s="310">
        <v>341.71</v>
      </c>
      <c r="C31" s="310">
        <v>270</v>
      </c>
      <c r="D31" s="310">
        <v>279.29000000000002</v>
      </c>
      <c r="E31" s="326">
        <f t="shared" si="1"/>
        <v>3.4407407407407442E-2</v>
      </c>
      <c r="F31" s="325"/>
      <c r="G31" s="320"/>
      <c r="H31" s="320"/>
      <c r="I31" s="320"/>
      <c r="J31" s="320"/>
      <c r="K31" s="320"/>
      <c r="P31" s="314"/>
      <c r="Q31" s="321"/>
    </row>
    <row r="32" spans="1:27" ht="13.5">
      <c r="A32" s="307" t="s">
        <v>144</v>
      </c>
      <c r="B32" s="310">
        <v>393.93</v>
      </c>
      <c r="C32" s="310">
        <v>292.67</v>
      </c>
      <c r="D32" s="310">
        <v>270.01</v>
      </c>
      <c r="E32" s="326">
        <f t="shared" si="1"/>
        <v>-7.742508627464384E-2</v>
      </c>
      <c r="F32" s="327"/>
      <c r="G32" s="320"/>
      <c r="H32" s="320"/>
      <c r="I32" s="320"/>
      <c r="J32" s="320"/>
      <c r="K32" s="320"/>
      <c r="P32" s="314"/>
      <c r="Q32" s="321"/>
    </row>
    <row r="33" spans="1:17" ht="13.5">
      <c r="A33" s="307" t="s">
        <v>145</v>
      </c>
      <c r="B33" s="310">
        <v>388.27</v>
      </c>
      <c r="C33" s="310">
        <v>299.23</v>
      </c>
      <c r="D33" s="310">
        <v>253.55</v>
      </c>
      <c r="E33" s="326">
        <f t="shared" si="1"/>
        <v>-0.15265849012465327</v>
      </c>
      <c r="F33" s="328"/>
      <c r="G33" s="320"/>
      <c r="H33" s="320"/>
      <c r="I33" s="320"/>
      <c r="J33" s="320"/>
      <c r="K33" s="320"/>
      <c r="P33" s="314"/>
      <c r="Q33" s="321"/>
    </row>
    <row r="34" spans="1:17" ht="13.5">
      <c r="A34" s="307" t="s">
        <v>146</v>
      </c>
      <c r="B34" s="310">
        <v>387.94</v>
      </c>
      <c r="C34" s="310">
        <v>303.92</v>
      </c>
      <c r="D34" s="310"/>
      <c r="E34" s="326"/>
      <c r="F34" s="327"/>
      <c r="G34" s="320"/>
      <c r="H34" s="320"/>
      <c r="I34" s="320"/>
      <c r="J34" s="320"/>
      <c r="K34" s="320"/>
      <c r="P34" s="314"/>
      <c r="Q34" s="321"/>
    </row>
    <row r="35" spans="1:17" ht="13.5">
      <c r="A35" s="307" t="s">
        <v>147</v>
      </c>
      <c r="B35" s="310">
        <v>394.62</v>
      </c>
      <c r="C35" s="310">
        <v>297.5</v>
      </c>
      <c r="D35" s="310"/>
      <c r="E35" s="326"/>
      <c r="F35" s="328"/>
      <c r="G35" s="320"/>
      <c r="H35" s="320"/>
      <c r="I35" s="320"/>
      <c r="J35" s="320"/>
      <c r="K35" s="320"/>
      <c r="P35" s="314"/>
      <c r="Q35" s="321"/>
    </row>
    <row r="36" spans="1:17" ht="13.5">
      <c r="A36" s="307" t="s">
        <v>148</v>
      </c>
      <c r="B36" s="310">
        <v>380.86</v>
      </c>
      <c r="C36" s="310">
        <v>299.56</v>
      </c>
      <c r="D36" s="310"/>
      <c r="E36" s="326"/>
      <c r="F36" s="328"/>
      <c r="G36" s="320"/>
      <c r="H36" s="320"/>
      <c r="I36" s="320"/>
      <c r="J36" s="320"/>
      <c r="K36" s="320"/>
      <c r="P36" s="314"/>
    </row>
    <row r="37" spans="1:17" ht="13.5">
      <c r="A37" s="307" t="s">
        <v>149</v>
      </c>
      <c r="B37" s="310">
        <v>343.04</v>
      </c>
      <c r="C37" s="310">
        <v>302.64</v>
      </c>
      <c r="D37" s="310"/>
      <c r="E37" s="326"/>
      <c r="F37" s="328"/>
      <c r="G37" s="320"/>
      <c r="H37" s="320"/>
      <c r="I37" s="320"/>
      <c r="J37" s="320"/>
      <c r="K37" s="320"/>
    </row>
    <row r="38" spans="1:17" ht="13.5">
      <c r="A38" s="307" t="s">
        <v>150</v>
      </c>
      <c r="B38" s="310">
        <v>371.03</v>
      </c>
      <c r="C38" s="310">
        <v>303.32</v>
      </c>
      <c r="D38" s="310"/>
      <c r="E38" s="326"/>
      <c r="F38" s="328"/>
      <c r="G38" s="320"/>
      <c r="H38" s="320"/>
      <c r="I38" s="320"/>
      <c r="J38" s="320"/>
      <c r="K38" s="320"/>
    </row>
    <row r="39" spans="1:17" ht="13.5">
      <c r="A39" s="307" t="s">
        <v>151</v>
      </c>
      <c r="B39" s="310">
        <v>353.51</v>
      </c>
      <c r="C39" s="310">
        <v>293.25</v>
      </c>
      <c r="D39" s="310"/>
      <c r="E39" s="326"/>
      <c r="F39" s="327"/>
      <c r="G39" s="320"/>
      <c r="H39" s="320"/>
      <c r="I39" s="320"/>
      <c r="J39" s="320"/>
      <c r="K39" s="320"/>
    </row>
    <row r="40" spans="1:17" ht="13.5">
      <c r="A40" s="307" t="s">
        <v>152</v>
      </c>
      <c r="B40" s="310">
        <v>328.58</v>
      </c>
      <c r="C40" s="310"/>
      <c r="D40" s="310"/>
      <c r="E40" s="326"/>
      <c r="F40" s="325"/>
      <c r="G40" s="320"/>
      <c r="H40" s="320"/>
      <c r="I40" s="320"/>
      <c r="J40" s="320"/>
      <c r="K40" s="320"/>
    </row>
    <row r="41" spans="1:17" ht="14" thickBot="1">
      <c r="A41" s="315" t="s">
        <v>153</v>
      </c>
      <c r="B41" s="329">
        <v>400.37</v>
      </c>
      <c r="C41" s="329">
        <v>286.3</v>
      </c>
      <c r="D41" s="329"/>
      <c r="E41" s="330"/>
      <c r="F41" s="328"/>
      <c r="G41" s="320"/>
      <c r="H41" s="320"/>
      <c r="I41" s="320"/>
      <c r="J41" s="320"/>
      <c r="K41" s="320"/>
    </row>
    <row r="42" spans="1:17" ht="16.5" thickTop="1">
      <c r="A42" s="317" t="s">
        <v>154</v>
      </c>
      <c r="B42" s="317"/>
      <c r="C42" s="317"/>
      <c r="D42" s="317"/>
      <c r="E42" s="317"/>
      <c r="F42" s="320"/>
      <c r="G42" s="320" t="s">
        <v>154</v>
      </c>
      <c r="H42" s="320"/>
      <c r="I42" s="320"/>
      <c r="J42" s="320"/>
      <c r="K42" s="320"/>
    </row>
    <row r="43" spans="1:17">
      <c r="A43" s="317"/>
      <c r="B43" s="331"/>
      <c r="C43" s="331"/>
      <c r="D43" s="331"/>
      <c r="E43" s="317"/>
      <c r="F43" s="320"/>
      <c r="G43" s="320"/>
      <c r="H43" s="320"/>
      <c r="I43" s="320"/>
      <c r="J43" s="320"/>
      <c r="K43" s="320"/>
    </row>
    <row r="44" spans="1:17" ht="15.75" customHeight="1">
      <c r="A44" s="317"/>
      <c r="B44" s="317"/>
      <c r="C44" s="332"/>
      <c r="D44" s="332"/>
      <c r="E44" s="332"/>
      <c r="F44" s="333"/>
      <c r="G44" s="333"/>
      <c r="H44" s="333"/>
      <c r="I44" s="333"/>
      <c r="J44" s="333"/>
      <c r="K44" s="333"/>
      <c r="L44" s="334"/>
      <c r="M44" s="334"/>
    </row>
    <row r="45" spans="1:17" s="294" customFormat="1" ht="18.5">
      <c r="A45" s="473" t="s">
        <v>156</v>
      </c>
      <c r="B45" s="473"/>
      <c r="C45" s="473"/>
      <c r="D45" s="473"/>
      <c r="E45" s="473"/>
      <c r="F45" s="473"/>
      <c r="G45" s="301"/>
      <c r="H45" s="301"/>
      <c r="I45" s="301"/>
      <c r="J45" s="301"/>
      <c r="K45" s="335"/>
      <c r="L45" s="336"/>
    </row>
    <row r="46" spans="1:17" s="294" customFormat="1" ht="12.75" customHeight="1" thickBot="1">
      <c r="A46" s="322"/>
      <c r="B46" s="322"/>
      <c r="C46" s="318"/>
      <c r="D46" s="318"/>
      <c r="E46" s="322"/>
      <c r="F46" s="474"/>
      <c r="G46" s="474"/>
      <c r="H46" s="474"/>
      <c r="I46" s="474"/>
      <c r="J46" s="474"/>
      <c r="K46" s="474"/>
      <c r="L46" s="337"/>
      <c r="M46" s="337"/>
    </row>
    <row r="47" spans="1:17" s="294" customFormat="1" ht="32.5" customHeight="1" thickTop="1" thickBot="1">
      <c r="A47" s="297" t="s">
        <v>157</v>
      </c>
      <c r="B47" s="298" t="s">
        <v>138</v>
      </c>
      <c r="C47" s="299" t="s">
        <v>139</v>
      </c>
      <c r="D47" s="299" t="s">
        <v>140</v>
      </c>
      <c r="E47" s="300" t="s">
        <v>141</v>
      </c>
      <c r="F47" s="301"/>
      <c r="G47" s="301"/>
      <c r="H47" s="301"/>
      <c r="I47" s="301"/>
      <c r="J47" s="301"/>
      <c r="K47" s="301"/>
    </row>
    <row r="48" spans="1:17" s="294" customFormat="1" ht="13" thickTop="1">
      <c r="A48" s="338" t="s">
        <v>142</v>
      </c>
      <c r="B48" s="339">
        <v>224.07</v>
      </c>
      <c r="C48" s="339">
        <v>211.89</v>
      </c>
      <c r="D48" s="339">
        <v>197.15</v>
      </c>
      <c r="E48" s="340">
        <f t="shared" ref="E48:E51" si="2">D48/C48-1</f>
        <v>-6.9564396620888092E-2</v>
      </c>
      <c r="F48" s="301"/>
      <c r="G48" s="301"/>
      <c r="H48" s="301"/>
      <c r="I48" s="301"/>
      <c r="J48" s="301"/>
      <c r="K48" s="301"/>
    </row>
    <row r="49" spans="1:11" s="294" customFormat="1" ht="12.5">
      <c r="A49" s="341" t="s">
        <v>143</v>
      </c>
      <c r="B49" s="342">
        <v>248.01</v>
      </c>
      <c r="C49" s="342">
        <v>204.28</v>
      </c>
      <c r="D49" s="342">
        <v>194.9</v>
      </c>
      <c r="E49" s="343">
        <f t="shared" si="2"/>
        <v>-4.5917368317994867E-2</v>
      </c>
      <c r="F49" s="344"/>
      <c r="G49" s="301"/>
      <c r="H49" s="301"/>
      <c r="I49" s="301"/>
      <c r="J49" s="301"/>
      <c r="K49" s="301"/>
    </row>
    <row r="50" spans="1:11" s="294" customFormat="1" ht="12.5">
      <c r="A50" s="341" t="s">
        <v>144</v>
      </c>
      <c r="B50" s="342">
        <v>229.89</v>
      </c>
      <c r="C50" s="342">
        <v>205.76</v>
      </c>
      <c r="D50" s="342">
        <v>190.59</v>
      </c>
      <c r="E50" s="343">
        <f t="shared" si="2"/>
        <v>-7.372667185069981E-2</v>
      </c>
      <c r="F50" s="344"/>
      <c r="G50" s="301"/>
      <c r="H50" s="301"/>
      <c r="I50" s="301"/>
      <c r="J50" s="301"/>
      <c r="K50" s="301"/>
    </row>
    <row r="51" spans="1:11" s="294" customFormat="1" ht="12.5">
      <c r="A51" s="341" t="s">
        <v>145</v>
      </c>
      <c r="B51" s="342">
        <v>231.49</v>
      </c>
      <c r="C51" s="342">
        <v>213.61</v>
      </c>
      <c r="D51" s="342">
        <v>187.62</v>
      </c>
      <c r="E51" s="343">
        <f t="shared" si="2"/>
        <v>-0.12167033378587144</v>
      </c>
      <c r="F51" s="344"/>
      <c r="G51" s="301"/>
      <c r="H51" s="301"/>
      <c r="I51" s="301"/>
      <c r="J51" s="301"/>
      <c r="K51" s="301"/>
    </row>
    <row r="52" spans="1:11" s="294" customFormat="1" ht="12.5">
      <c r="A52" s="341" t="s">
        <v>146</v>
      </c>
      <c r="B52" s="342">
        <v>236.91</v>
      </c>
      <c r="C52" s="342">
        <v>207.32</v>
      </c>
      <c r="D52" s="342"/>
      <c r="E52" s="343"/>
      <c r="F52" s="345"/>
      <c r="G52" s="301"/>
      <c r="H52" s="301"/>
      <c r="I52" s="301"/>
      <c r="J52" s="301"/>
      <c r="K52" s="301"/>
    </row>
    <row r="53" spans="1:11" s="294" customFormat="1" ht="12.5">
      <c r="A53" s="341" t="s">
        <v>147</v>
      </c>
      <c r="B53" s="342">
        <v>231.23</v>
      </c>
      <c r="C53" s="342">
        <v>206.61</v>
      </c>
      <c r="D53" s="342"/>
      <c r="E53" s="343"/>
      <c r="F53" s="301"/>
      <c r="G53" s="301"/>
      <c r="H53" s="301"/>
      <c r="I53" s="301"/>
      <c r="J53" s="301"/>
      <c r="K53" s="301"/>
    </row>
    <row r="54" spans="1:11" s="313" customFormat="1" ht="13" customHeight="1">
      <c r="A54" s="341" t="s">
        <v>148</v>
      </c>
      <c r="B54" s="342">
        <v>233.79</v>
      </c>
      <c r="C54" s="342">
        <v>213.9</v>
      </c>
      <c r="D54" s="342"/>
      <c r="E54" s="343"/>
      <c r="F54" s="346"/>
      <c r="G54" s="346"/>
      <c r="H54" s="346"/>
      <c r="I54" s="346"/>
      <c r="J54" s="346"/>
      <c r="K54" s="346"/>
    </row>
    <row r="55" spans="1:11" s="294" customFormat="1" ht="13" customHeight="1">
      <c r="A55" s="341" t="s">
        <v>149</v>
      </c>
      <c r="B55" s="342">
        <v>234.73</v>
      </c>
      <c r="C55" s="342">
        <v>214.91</v>
      </c>
      <c r="D55" s="342"/>
      <c r="E55" s="343"/>
      <c r="F55" s="301"/>
      <c r="G55" s="301"/>
      <c r="H55" s="301"/>
      <c r="I55" s="301"/>
      <c r="J55" s="301"/>
      <c r="K55" s="301"/>
    </row>
    <row r="56" spans="1:11" s="294" customFormat="1" ht="13" customHeight="1">
      <c r="A56" s="341" t="s">
        <v>150</v>
      </c>
      <c r="B56" s="342">
        <v>248.26</v>
      </c>
      <c r="C56" s="342">
        <v>209.07</v>
      </c>
      <c r="D56" s="342"/>
      <c r="E56" s="343"/>
      <c r="F56" s="301"/>
      <c r="G56" s="301"/>
      <c r="H56" s="301"/>
      <c r="I56" s="301"/>
      <c r="J56" s="301"/>
      <c r="K56" s="301"/>
    </row>
    <row r="57" spans="1:11" s="294" customFormat="1" ht="13" customHeight="1">
      <c r="A57" s="341" t="s">
        <v>151</v>
      </c>
      <c r="B57" s="342">
        <v>245.11</v>
      </c>
      <c r="C57" s="342">
        <v>203.54</v>
      </c>
      <c r="D57" s="342"/>
      <c r="E57" s="343"/>
      <c r="F57" s="301"/>
      <c r="G57" s="301"/>
      <c r="H57" s="301"/>
      <c r="I57" s="301"/>
      <c r="J57" s="301"/>
      <c r="K57" s="301"/>
    </row>
    <row r="58" spans="1:11" s="294" customFormat="1" ht="13" customHeight="1">
      <c r="A58" s="341" t="s">
        <v>152</v>
      </c>
      <c r="B58" s="342">
        <v>246.66</v>
      </c>
      <c r="C58" s="342">
        <v>194.41</v>
      </c>
      <c r="D58" s="342"/>
      <c r="E58" s="343"/>
      <c r="F58" s="301"/>
      <c r="G58" s="301"/>
      <c r="H58" s="301"/>
      <c r="I58" s="301"/>
      <c r="J58" s="301"/>
      <c r="K58" s="301"/>
    </row>
    <row r="59" spans="1:11" s="294" customFormat="1" ht="13" customHeight="1" thickBot="1">
      <c r="A59" s="347" t="s">
        <v>153</v>
      </c>
      <c r="B59" s="348">
        <v>225.3</v>
      </c>
      <c r="C59" s="348">
        <v>187.85</v>
      </c>
      <c r="D59" s="348"/>
      <c r="E59" s="349"/>
      <c r="F59" s="345"/>
      <c r="G59" s="301"/>
      <c r="H59" s="301"/>
      <c r="I59" s="320"/>
      <c r="J59" s="301"/>
      <c r="K59" s="301"/>
    </row>
    <row r="60" spans="1:11" ht="16.5" thickTop="1">
      <c r="A60" s="317" t="s">
        <v>154</v>
      </c>
      <c r="B60" s="318"/>
      <c r="C60" s="317"/>
      <c r="D60" s="317"/>
      <c r="E60" s="317"/>
      <c r="F60" s="327"/>
      <c r="H60" s="320"/>
      <c r="I60" s="320"/>
      <c r="J60" s="320"/>
      <c r="K60" s="320"/>
    </row>
    <row r="61" spans="1:11">
      <c r="A61" s="317"/>
      <c r="B61" s="317"/>
      <c r="C61" s="317"/>
      <c r="D61" s="317"/>
      <c r="E61" s="317"/>
      <c r="F61" s="320"/>
      <c r="G61" s="320" t="s">
        <v>154</v>
      </c>
      <c r="H61" s="320"/>
      <c r="I61" s="320"/>
      <c r="J61" s="320"/>
      <c r="K61" s="320"/>
    </row>
    <row r="62" spans="1:11">
      <c r="A62" s="317"/>
      <c r="B62" s="317"/>
      <c r="C62" s="317"/>
      <c r="D62" s="317"/>
      <c r="E62" s="317"/>
      <c r="F62" s="320"/>
      <c r="G62" s="320"/>
      <c r="H62" s="320"/>
      <c r="I62" s="320"/>
      <c r="J62" s="320"/>
      <c r="K62" s="320"/>
    </row>
    <row r="63" spans="1:11">
      <c r="A63" s="317"/>
      <c r="B63" s="317"/>
      <c r="C63" s="317"/>
      <c r="D63" s="317"/>
      <c r="E63" s="317"/>
      <c r="F63" s="320"/>
      <c r="G63" s="320"/>
      <c r="H63" s="320"/>
      <c r="I63" s="320"/>
      <c r="J63" s="320"/>
      <c r="K63" s="320"/>
    </row>
    <row r="64" spans="1:11">
      <c r="A64" s="317"/>
      <c r="B64" s="317"/>
      <c r="C64" s="317"/>
      <c r="D64" s="317"/>
      <c r="E64" s="317"/>
      <c r="F64" s="320"/>
      <c r="G64" s="320"/>
      <c r="H64" s="320"/>
      <c r="I64" s="320"/>
      <c r="J64" s="320"/>
      <c r="K64" s="320"/>
    </row>
    <row r="65" spans="1:11">
      <c r="A65" s="317"/>
      <c r="B65" s="317"/>
      <c r="C65" s="317"/>
      <c r="D65" s="317"/>
      <c r="E65" s="317"/>
      <c r="F65" s="320"/>
      <c r="G65" s="320"/>
      <c r="H65" s="320"/>
      <c r="I65" s="320"/>
      <c r="J65" s="320"/>
      <c r="K65" s="320"/>
    </row>
    <row r="66" spans="1:11">
      <c r="A66" s="317"/>
      <c r="B66" s="317"/>
      <c r="C66" s="317"/>
      <c r="D66" s="317"/>
      <c r="E66" s="317"/>
      <c r="F66" s="320"/>
      <c r="G66" s="320"/>
      <c r="H66" s="320"/>
      <c r="I66" s="320"/>
      <c r="J66" s="320"/>
      <c r="K66" s="320"/>
    </row>
    <row r="67" spans="1:11">
      <c r="A67" s="317"/>
      <c r="B67" s="317"/>
      <c r="C67" s="317"/>
      <c r="D67" s="317"/>
      <c r="E67" s="317"/>
      <c r="F67" s="320"/>
      <c r="G67" s="320"/>
      <c r="H67" s="320"/>
      <c r="I67" s="320"/>
      <c r="J67" s="320"/>
      <c r="K67" s="320"/>
    </row>
    <row r="68" spans="1:11">
      <c r="A68" s="317"/>
      <c r="B68" s="317"/>
      <c r="C68" s="317"/>
      <c r="D68" s="317"/>
      <c r="E68" s="317"/>
      <c r="F68" s="320"/>
      <c r="G68" s="320"/>
      <c r="H68" s="320"/>
      <c r="I68" s="320"/>
      <c r="J68" s="320"/>
      <c r="K68" s="320"/>
    </row>
    <row r="69" spans="1:11">
      <c r="A69" s="317"/>
      <c r="B69" s="317"/>
      <c r="C69" s="317"/>
      <c r="D69" s="317"/>
      <c r="E69" s="317"/>
      <c r="F69" s="320"/>
      <c r="G69" s="320"/>
      <c r="H69" s="320"/>
      <c r="I69" s="320"/>
      <c r="J69" s="320"/>
      <c r="K69" s="320"/>
    </row>
    <row r="70" spans="1:11">
      <c r="A70" s="317"/>
      <c r="B70" s="317"/>
      <c r="C70" s="317"/>
      <c r="D70" s="317"/>
      <c r="E70" s="317"/>
      <c r="F70" s="320"/>
      <c r="G70" s="320"/>
      <c r="H70" s="320"/>
      <c r="I70" s="320"/>
      <c r="J70" s="320"/>
      <c r="K70" s="320"/>
    </row>
    <row r="71" spans="1:11">
      <c r="A71" s="317"/>
      <c r="B71" s="317"/>
      <c r="C71" s="317"/>
      <c r="D71" s="317"/>
      <c r="E71" s="317"/>
      <c r="F71" s="320"/>
      <c r="G71" s="320"/>
      <c r="H71" s="320"/>
      <c r="I71" s="320"/>
      <c r="J71" s="320"/>
      <c r="K71" s="320"/>
    </row>
    <row r="72" spans="1:11">
      <c r="A72" s="317"/>
      <c r="B72" s="317"/>
      <c r="C72" s="317"/>
      <c r="D72" s="317"/>
      <c r="E72" s="317"/>
      <c r="F72" s="320"/>
      <c r="G72" s="320"/>
      <c r="H72" s="320"/>
      <c r="I72" s="320"/>
      <c r="J72" s="320"/>
      <c r="K72" s="320"/>
    </row>
  </sheetData>
  <sheetProtection selectLockedCells="1" selectUnlockedCells="1"/>
  <mergeCells count="4">
    <mergeCell ref="A9:F9"/>
    <mergeCell ref="A27:F27"/>
    <mergeCell ref="A45:F45"/>
    <mergeCell ref="F46:K46"/>
  </mergeCells>
  <hyperlinks>
    <hyperlink ref="R1" location="'Sommaire&amp;Méthodo'!A1" display="Retour Sommaire" xr:uid="{00000000-0004-0000-0500-000000000000}"/>
  </hyperlinks>
  <pageMargins left="0.78749999999999998" right="0.78749999999999998" top="1.0249999999999999" bottom="1.0249999999999999" header="0.78749999999999998" footer="0.78749999999999998"/>
  <pageSetup paperSize="9" firstPageNumber="0" orientation="portrait" horizontalDpi="300" verticalDpi="300" r:id="rId1"/>
  <headerFooter alignWithMargins="0">
    <oddHeader>&amp;C&amp;A</oddHeader>
    <oddFooter>&amp;CPage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39"/>
  <sheetViews>
    <sheetView showGridLines="0" topLeftCell="A19" zoomScale="115" zoomScaleNormal="115" workbookViewId="0">
      <selection activeCell="F27" sqref="F27:F34"/>
    </sheetView>
  </sheetViews>
  <sheetFormatPr baseColWidth="10" defaultColWidth="11.54296875" defaultRowHeight="16"/>
  <cols>
    <col min="1" max="5" width="11.54296875" style="359"/>
    <col min="6" max="16384" width="11.54296875" style="352"/>
  </cols>
  <sheetData>
    <row r="1" spans="1:18" s="25" customFormat="1">
      <c r="A1" s="290"/>
      <c r="B1" s="290"/>
      <c r="C1" s="290"/>
      <c r="D1" s="290"/>
      <c r="E1" s="290"/>
      <c r="R1" s="105" t="s">
        <v>91</v>
      </c>
    </row>
    <row r="2" spans="1:18" s="25" customFormat="1">
      <c r="A2" s="290"/>
      <c r="B2" s="290"/>
      <c r="C2" s="290"/>
      <c r="D2" s="290"/>
      <c r="E2" s="290"/>
    </row>
    <row r="3" spans="1:18" s="25" customFormat="1">
      <c r="A3" s="290"/>
      <c r="B3" s="290"/>
      <c r="C3" s="290"/>
      <c r="D3" s="290"/>
      <c r="E3" s="290"/>
    </row>
    <row r="4" spans="1:18" s="25" customFormat="1">
      <c r="A4" s="290"/>
      <c r="B4" s="290"/>
      <c r="C4" s="290"/>
      <c r="D4" s="290"/>
      <c r="E4" s="290"/>
    </row>
    <row r="5" spans="1:18" s="25" customFormat="1">
      <c r="A5" s="290"/>
      <c r="B5" s="290"/>
      <c r="C5" s="290"/>
      <c r="D5" s="290"/>
      <c r="E5" s="290"/>
    </row>
    <row r="6" spans="1:18" s="293" customFormat="1" ht="18.5">
      <c r="A6" s="291"/>
      <c r="B6" s="291"/>
      <c r="C6" s="292"/>
      <c r="D6" s="292"/>
      <c r="E6" s="292"/>
    </row>
    <row r="7" spans="1:18" ht="17.5">
      <c r="A7" s="350" t="s">
        <v>158</v>
      </c>
      <c r="B7" s="351"/>
      <c r="C7" s="351"/>
      <c r="D7" s="351"/>
      <c r="E7" s="351"/>
    </row>
    <row r="8" spans="1:18" ht="16.5" thickBot="1">
      <c r="A8" s="351"/>
      <c r="B8" s="351"/>
      <c r="C8" s="351"/>
      <c r="D8" s="351"/>
      <c r="E8" s="351"/>
    </row>
    <row r="9" spans="1:18" ht="24.5" customHeight="1" thickTop="1" thickBot="1">
      <c r="A9" s="297" t="s">
        <v>157</v>
      </c>
      <c r="B9" s="298" t="s">
        <v>138</v>
      </c>
      <c r="C9" s="299" t="s">
        <v>139</v>
      </c>
      <c r="D9" s="299" t="s">
        <v>140</v>
      </c>
      <c r="E9" s="300" t="s">
        <v>141</v>
      </c>
    </row>
    <row r="10" spans="1:18" ht="14" thickTop="1">
      <c r="A10" s="338" t="s">
        <v>159</v>
      </c>
      <c r="B10" s="339">
        <v>502.30833333333339</v>
      </c>
      <c r="C10" s="339">
        <v>479</v>
      </c>
      <c r="D10" s="339">
        <v>468.06</v>
      </c>
      <c r="E10" s="340">
        <f t="shared" ref="E10:E13" si="0">D10/C10-1</f>
        <v>-2.2839248434238013E-2</v>
      </c>
      <c r="F10" s="353"/>
    </row>
    <row r="11" spans="1:18" ht="13.5">
      <c r="A11" s="341" t="s">
        <v>143</v>
      </c>
      <c r="B11" s="342">
        <v>496.23333333333341</v>
      </c>
      <c r="C11" s="342">
        <v>461.5</v>
      </c>
      <c r="D11" s="342">
        <v>464.67</v>
      </c>
      <c r="E11" s="343">
        <f t="shared" si="0"/>
        <v>6.8689057421451594E-3</v>
      </c>
      <c r="F11" s="353"/>
      <c r="G11" s="354"/>
      <c r="H11" s="354"/>
      <c r="I11" s="354"/>
      <c r="J11" s="354"/>
      <c r="K11" s="354"/>
      <c r="L11" s="354"/>
      <c r="M11" s="354"/>
      <c r="N11" s="354"/>
      <c r="O11" s="354"/>
      <c r="P11" s="354"/>
      <c r="Q11" s="354"/>
    </row>
    <row r="12" spans="1:18" ht="13.5">
      <c r="A12" s="341" t="s">
        <v>144</v>
      </c>
      <c r="B12" s="342">
        <v>503.12749999999994</v>
      </c>
      <c r="C12" s="342">
        <v>469.81</v>
      </c>
      <c r="D12" s="342">
        <v>461.25</v>
      </c>
      <c r="E12" s="343">
        <f t="shared" si="0"/>
        <v>-1.8220131542538431E-2</v>
      </c>
      <c r="F12" s="353"/>
    </row>
    <row r="13" spans="1:18" ht="13.5">
      <c r="A13" s="341" t="s">
        <v>145</v>
      </c>
      <c r="B13" s="342">
        <v>524.33999999999992</v>
      </c>
      <c r="C13" s="342">
        <v>498.2</v>
      </c>
      <c r="D13" s="342">
        <v>463.8</v>
      </c>
      <c r="E13" s="343">
        <f t="shared" si="0"/>
        <v>-6.904857486953031E-2</v>
      </c>
    </row>
    <row r="14" spans="1:18" ht="13.5">
      <c r="A14" s="341" t="s">
        <v>146</v>
      </c>
      <c r="B14" s="342">
        <v>536.98333333333335</v>
      </c>
      <c r="C14" s="342">
        <v>520.38</v>
      </c>
      <c r="D14" s="342"/>
      <c r="E14" s="343"/>
      <c r="F14" s="355"/>
    </row>
    <row r="15" spans="1:18" ht="13.5">
      <c r="A15" s="341" t="s">
        <v>147</v>
      </c>
      <c r="B15" s="342">
        <v>523.6</v>
      </c>
      <c r="C15" s="342">
        <v>522.33333333333337</v>
      </c>
      <c r="D15" s="342"/>
      <c r="E15" s="343"/>
    </row>
    <row r="16" spans="1:18" ht="13.5">
      <c r="A16" s="341" t="s">
        <v>148</v>
      </c>
      <c r="B16" s="342">
        <v>534.125</v>
      </c>
      <c r="C16" s="342">
        <v>525.625</v>
      </c>
      <c r="D16" s="342"/>
      <c r="E16" s="343"/>
    </row>
    <row r="17" spans="1:25" ht="13.5">
      <c r="A17" s="341" t="s">
        <v>149</v>
      </c>
      <c r="B17" s="342">
        <v>533.91999999999996</v>
      </c>
      <c r="C17" s="342">
        <v>523.25</v>
      </c>
      <c r="D17" s="342"/>
      <c r="E17" s="343"/>
    </row>
    <row r="18" spans="1:25" ht="13.5">
      <c r="A18" s="341" t="s">
        <v>150</v>
      </c>
      <c r="B18" s="342">
        <v>564.61</v>
      </c>
      <c r="C18" s="342">
        <v>493.75</v>
      </c>
      <c r="D18" s="342"/>
      <c r="E18" s="343"/>
    </row>
    <row r="19" spans="1:25" ht="13.5">
      <c r="A19" s="341" t="s">
        <v>151</v>
      </c>
      <c r="B19" s="342">
        <v>575.15</v>
      </c>
      <c r="C19" s="342">
        <v>493.875</v>
      </c>
      <c r="D19" s="342"/>
      <c r="E19" s="343"/>
    </row>
    <row r="20" spans="1:25" ht="13.5">
      <c r="A20" s="341" t="s">
        <v>152</v>
      </c>
      <c r="B20" s="342">
        <v>549.03333333333342</v>
      </c>
      <c r="C20" s="342">
        <v>483</v>
      </c>
      <c r="D20" s="342"/>
      <c r="E20" s="343"/>
      <c r="F20" s="355"/>
    </row>
    <row r="21" spans="1:25" ht="14" thickBot="1">
      <c r="A21" s="347" t="s">
        <v>153</v>
      </c>
      <c r="B21" s="348">
        <v>524.39833333333331</v>
      </c>
      <c r="C21" s="348">
        <v>475.63</v>
      </c>
      <c r="D21" s="348"/>
      <c r="E21" s="349"/>
      <c r="F21" s="355"/>
    </row>
    <row r="22" spans="1:25" ht="16.5" thickTop="1">
      <c r="A22" s="351" t="s">
        <v>160</v>
      </c>
      <c r="B22" s="356"/>
      <c r="C22" s="351"/>
      <c r="D22" s="351"/>
      <c r="E22" s="351"/>
      <c r="G22" s="351" t="s">
        <v>160</v>
      </c>
    </row>
    <row r="23" spans="1:25">
      <c r="A23" s="351"/>
      <c r="B23" s="351"/>
      <c r="C23" s="351"/>
      <c r="D23" s="351"/>
      <c r="E23" s="351"/>
    </row>
    <row r="24" spans="1:25" ht="17.5">
      <c r="A24" s="350" t="s">
        <v>161</v>
      </c>
      <c r="B24" s="351"/>
      <c r="C24" s="351"/>
      <c r="D24" s="351"/>
      <c r="E24" s="351"/>
    </row>
    <row r="25" spans="1:25" ht="32.15" customHeight="1" thickBot="1">
      <c r="A25" s="351"/>
      <c r="B25" s="351"/>
      <c r="C25" s="351"/>
      <c r="D25" s="351"/>
      <c r="E25" s="351"/>
    </row>
    <row r="26" spans="1:25" ht="24.5" customHeight="1" thickTop="1" thickBot="1">
      <c r="A26" s="297" t="s">
        <v>157</v>
      </c>
      <c r="B26" s="298" t="s">
        <v>138</v>
      </c>
      <c r="C26" s="299" t="s">
        <v>139</v>
      </c>
      <c r="D26" s="299" t="s">
        <v>140</v>
      </c>
      <c r="E26" s="300" t="s">
        <v>141</v>
      </c>
      <c r="N26" s="357"/>
      <c r="O26" s="357"/>
      <c r="P26" s="357"/>
      <c r="Q26" s="357"/>
      <c r="R26" s="357"/>
      <c r="S26" s="357"/>
      <c r="T26" s="357"/>
      <c r="U26" s="357"/>
      <c r="V26" s="357"/>
      <c r="W26" s="357"/>
      <c r="X26" s="357"/>
      <c r="Y26" s="357"/>
    </row>
    <row r="27" spans="1:25" ht="14" thickTop="1">
      <c r="A27" s="338" t="s">
        <v>159</v>
      </c>
      <c r="B27" s="339">
        <v>469.625</v>
      </c>
      <c r="C27" s="339">
        <v>448.13</v>
      </c>
      <c r="D27" s="339">
        <v>457.5</v>
      </c>
      <c r="E27" s="340">
        <f t="shared" ref="E27:E30" si="1">D27/C27-1</f>
        <v>2.0909111195412056E-2</v>
      </c>
      <c r="F27" s="358"/>
      <c r="G27" s="354"/>
      <c r="H27" s="354"/>
      <c r="I27" s="354"/>
      <c r="J27" s="354"/>
      <c r="K27" s="354"/>
      <c r="L27" s="354"/>
      <c r="M27" s="354"/>
      <c r="N27" s="354"/>
      <c r="O27" s="354"/>
      <c r="P27" s="354"/>
      <c r="Q27" s="354"/>
    </row>
    <row r="28" spans="1:25" ht="13.5">
      <c r="A28" s="341" t="s">
        <v>143</v>
      </c>
      <c r="B28" s="342">
        <v>479.16666666666669</v>
      </c>
      <c r="C28" s="342">
        <v>464.17</v>
      </c>
      <c r="D28" s="342">
        <v>480</v>
      </c>
      <c r="E28" s="343">
        <f t="shared" si="1"/>
        <v>3.4103884352715497E-2</v>
      </c>
      <c r="F28" s="358"/>
      <c r="G28" s="354"/>
      <c r="H28" s="354"/>
      <c r="I28" s="354"/>
      <c r="J28" s="354"/>
      <c r="K28" s="354"/>
      <c r="L28" s="354"/>
      <c r="M28" s="354"/>
      <c r="N28" s="357"/>
      <c r="O28" s="354"/>
      <c r="P28" s="354"/>
      <c r="Q28" s="354"/>
    </row>
    <row r="29" spans="1:25" ht="13.5">
      <c r="A29" s="341" t="s">
        <v>144</v>
      </c>
      <c r="B29" s="342">
        <v>476.97500000000002</v>
      </c>
      <c r="C29" s="342">
        <v>467.5</v>
      </c>
      <c r="D29" s="342">
        <v>488.75</v>
      </c>
      <c r="E29" s="343">
        <f t="shared" si="1"/>
        <v>4.5454545454545414E-2</v>
      </c>
      <c r="F29" s="358"/>
      <c r="N29" s="357"/>
    </row>
    <row r="30" spans="1:25" ht="13.5">
      <c r="A30" s="341" t="s">
        <v>145</v>
      </c>
      <c r="B30" s="342">
        <v>519.02499999999998</v>
      </c>
      <c r="C30" s="342">
        <v>536.25</v>
      </c>
      <c r="D30" s="342">
        <v>500</v>
      </c>
      <c r="E30" s="343">
        <f t="shared" si="1"/>
        <v>-6.7599067599067642E-2</v>
      </c>
      <c r="N30" s="357"/>
    </row>
    <row r="31" spans="1:25" ht="13.5">
      <c r="A31" s="341" t="s">
        <v>146</v>
      </c>
      <c r="B31" s="342">
        <v>533.33333333333326</v>
      </c>
      <c r="C31" s="342">
        <v>553.75</v>
      </c>
      <c r="D31" s="342"/>
      <c r="E31" s="343"/>
      <c r="N31" s="357"/>
    </row>
    <row r="32" spans="1:25" ht="13.5">
      <c r="A32" s="341" t="s">
        <v>147</v>
      </c>
      <c r="B32" s="342">
        <v>514.5</v>
      </c>
      <c r="C32" s="342">
        <v>538.33333333333337</v>
      </c>
      <c r="D32" s="342"/>
      <c r="E32" s="343"/>
      <c r="N32" s="357"/>
    </row>
    <row r="33" spans="1:14" ht="13.5">
      <c r="A33" s="341" t="s">
        <v>148</v>
      </c>
      <c r="B33" s="342">
        <v>520.25</v>
      </c>
      <c r="C33" s="342">
        <v>533.75</v>
      </c>
      <c r="D33" s="342"/>
      <c r="E33" s="343"/>
      <c r="N33" s="357"/>
    </row>
    <row r="34" spans="1:14" ht="13.5">
      <c r="A34" s="341" t="s">
        <v>149</v>
      </c>
      <c r="B34" s="342">
        <v>529.1</v>
      </c>
      <c r="C34" s="342">
        <v>538.75</v>
      </c>
      <c r="D34" s="342"/>
      <c r="E34" s="343"/>
      <c r="N34" s="357"/>
    </row>
    <row r="35" spans="1:14" ht="13.5">
      <c r="A35" s="341" t="s">
        <v>150</v>
      </c>
      <c r="B35" s="342">
        <v>575.8125</v>
      </c>
      <c r="C35" s="342"/>
      <c r="D35" s="342"/>
      <c r="E35" s="343"/>
      <c r="N35" s="357"/>
    </row>
    <row r="36" spans="1:14" ht="13.5">
      <c r="A36" s="341" t="s">
        <v>151</v>
      </c>
      <c r="B36" s="342">
        <v>526.65</v>
      </c>
      <c r="C36" s="342">
        <v>457.5</v>
      </c>
      <c r="D36" s="342"/>
      <c r="E36" s="343"/>
      <c r="N36" s="357"/>
    </row>
    <row r="37" spans="1:14" ht="13.5">
      <c r="A37" s="341" t="s">
        <v>152</v>
      </c>
      <c r="B37" s="342">
        <v>523.66666666666674</v>
      </c>
      <c r="C37" s="342">
        <v>427.5</v>
      </c>
      <c r="D37" s="342"/>
      <c r="E37" s="343"/>
      <c r="F37" s="355"/>
      <c r="N37" s="357"/>
    </row>
    <row r="38" spans="1:14" ht="14" thickBot="1">
      <c r="A38" s="347" t="s">
        <v>153</v>
      </c>
      <c r="B38" s="348">
        <v>493.18333333333339</v>
      </c>
      <c r="C38" s="348">
        <v>431.25</v>
      </c>
      <c r="D38" s="348"/>
      <c r="E38" s="349"/>
      <c r="F38" s="355"/>
      <c r="N38" s="357"/>
    </row>
    <row r="39" spans="1:14" ht="16.5" thickTop="1">
      <c r="A39" s="351" t="s">
        <v>160</v>
      </c>
      <c r="G39" s="351" t="s">
        <v>160</v>
      </c>
      <c r="N39" s="357"/>
    </row>
  </sheetData>
  <hyperlinks>
    <hyperlink ref="R1" location="'Sommaire&amp;Méthodo'!A1" display="Retour Sommaire" xr:uid="{00000000-0004-0000-0600-00000000000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65"/>
  <sheetViews>
    <sheetView showGridLines="0" topLeftCell="A13" zoomScale="90" zoomScaleNormal="90" workbookViewId="0">
      <selection activeCell="N57" sqref="N57"/>
    </sheetView>
  </sheetViews>
  <sheetFormatPr baseColWidth="10" defaultColWidth="11.54296875" defaultRowHeight="12" customHeight="1"/>
  <cols>
    <col min="1" max="1" width="20" style="360" customWidth="1"/>
    <col min="2" max="11" width="7.54296875" style="361" customWidth="1"/>
    <col min="12" max="12" width="10.453125" style="361" customWidth="1"/>
    <col min="13" max="13" width="6.54296875" style="362" customWidth="1"/>
    <col min="14" max="14" width="10.54296875" style="362" customWidth="1"/>
    <col min="15" max="15" width="7.54296875" style="362" customWidth="1"/>
    <col min="16" max="16" width="9.26953125" style="362" customWidth="1"/>
    <col min="17" max="17" width="17.1796875" style="361" customWidth="1"/>
    <col min="18" max="18" width="7" style="361" customWidth="1"/>
    <col min="19" max="19" width="6" style="361" customWidth="1"/>
    <col min="20" max="20" width="6.54296875" style="361" customWidth="1"/>
    <col min="21" max="21" width="8" style="363" customWidth="1"/>
    <col min="22" max="22" width="7.54296875" style="361" customWidth="1"/>
    <col min="23" max="23" width="10" style="361" customWidth="1"/>
    <col min="24" max="24" width="8.81640625" style="361" customWidth="1"/>
    <col min="25" max="25" width="12.453125" style="361" customWidth="1"/>
    <col min="26" max="26" width="10.1796875" style="361" customWidth="1"/>
    <col min="27" max="27" width="15.6328125" style="361" customWidth="1"/>
    <col min="28" max="16384" width="11.54296875" style="361"/>
  </cols>
  <sheetData>
    <row r="1" spans="1:24" ht="12" customHeight="1">
      <c r="X1" s="105" t="s">
        <v>91</v>
      </c>
    </row>
    <row r="2" spans="1:24" ht="15" customHeight="1">
      <c r="B2" s="360"/>
      <c r="C2" s="360"/>
      <c r="D2" s="360"/>
      <c r="E2" s="360"/>
      <c r="F2" s="360"/>
      <c r="G2" s="360"/>
      <c r="H2" s="360"/>
      <c r="I2" s="360"/>
      <c r="J2" s="360"/>
      <c r="K2" s="360"/>
      <c r="L2" s="360"/>
      <c r="M2" s="361"/>
      <c r="N2" s="364"/>
      <c r="O2" s="364"/>
      <c r="P2" s="364"/>
    </row>
    <row r="3" spans="1:24" ht="12" customHeight="1">
      <c r="Q3" s="365"/>
      <c r="R3" s="365"/>
      <c r="S3" s="365"/>
      <c r="T3" s="365"/>
      <c r="U3" s="366"/>
      <c r="V3" s="365"/>
    </row>
    <row r="6" spans="1:24" ht="15" customHeight="1">
      <c r="B6" s="360"/>
      <c r="C6" s="360"/>
      <c r="D6" s="360"/>
      <c r="E6" s="360"/>
      <c r="F6" s="360"/>
      <c r="G6" s="360"/>
      <c r="H6" s="360"/>
      <c r="I6" s="360"/>
      <c r="J6" s="360"/>
      <c r="K6" s="360"/>
      <c r="L6" s="360"/>
      <c r="M6" s="361"/>
      <c r="N6" s="364"/>
      <c r="O6" s="364"/>
      <c r="P6" s="364"/>
    </row>
    <row r="7" spans="1:24" ht="15" customHeight="1">
      <c r="B7" s="360"/>
      <c r="C7" s="360"/>
      <c r="D7" s="360"/>
      <c r="E7" s="360"/>
      <c r="F7" s="360"/>
      <c r="G7" s="360"/>
      <c r="H7" s="360"/>
      <c r="I7" s="360"/>
      <c r="J7" s="360"/>
      <c r="K7" s="360"/>
      <c r="L7" s="360"/>
      <c r="M7" s="361"/>
      <c r="N7" s="364"/>
      <c r="O7" s="364"/>
      <c r="P7" s="364"/>
    </row>
    <row r="8" spans="1:24" ht="15" customHeight="1">
      <c r="B8" s="367" t="s">
        <v>162</v>
      </c>
      <c r="C8" s="360"/>
      <c r="D8" s="360"/>
      <c r="E8" s="360"/>
      <c r="F8" s="360"/>
      <c r="G8" s="360"/>
      <c r="H8" s="360"/>
      <c r="I8" s="360"/>
      <c r="J8" s="360"/>
      <c r="K8" s="360"/>
      <c r="L8" s="360"/>
      <c r="M8" s="361"/>
      <c r="N8" s="364"/>
      <c r="O8" s="364"/>
      <c r="P8" s="364"/>
    </row>
    <row r="9" spans="1:24" ht="15" customHeight="1">
      <c r="B9" s="368"/>
      <c r="C9" s="369"/>
      <c r="D9" s="369"/>
      <c r="E9" s="369"/>
      <c r="F9" s="369"/>
      <c r="G9" s="369"/>
      <c r="H9" s="369"/>
      <c r="I9" s="369"/>
      <c r="J9" s="369"/>
      <c r="K9" s="369"/>
      <c r="L9" s="369"/>
      <c r="M9" s="369"/>
      <c r="N9" s="369"/>
      <c r="O9" s="369"/>
    </row>
    <row r="10" spans="1:24" ht="24.65" customHeight="1">
      <c r="A10" s="365" t="s">
        <v>163</v>
      </c>
      <c r="B10" s="370">
        <v>40179</v>
      </c>
      <c r="C10" s="371">
        <v>40544</v>
      </c>
      <c r="D10" s="370">
        <v>40909</v>
      </c>
      <c r="E10" s="371">
        <v>41275</v>
      </c>
      <c r="F10" s="370">
        <v>41640</v>
      </c>
      <c r="G10" s="371">
        <v>42005</v>
      </c>
      <c r="H10" s="370">
        <v>42370</v>
      </c>
      <c r="I10" s="370">
        <v>42737</v>
      </c>
      <c r="J10" s="370">
        <v>43103</v>
      </c>
      <c r="K10" s="370">
        <v>43468</v>
      </c>
      <c r="L10" s="370">
        <v>43832</v>
      </c>
      <c r="M10" s="372">
        <v>2021</v>
      </c>
      <c r="N10" s="373">
        <v>2022</v>
      </c>
      <c r="O10" s="373">
        <v>2023</v>
      </c>
      <c r="P10" s="374">
        <v>2024</v>
      </c>
      <c r="Q10" s="375" t="s">
        <v>164</v>
      </c>
      <c r="U10" s="361"/>
    </row>
    <row r="11" spans="1:24" s="384" customFormat="1" ht="15" customHeight="1">
      <c r="A11" s="376" t="s">
        <v>165</v>
      </c>
      <c r="B11" s="377">
        <v>239.19900000000001</v>
      </c>
      <c r="C11" s="377">
        <v>243.29599999999999</v>
      </c>
      <c r="D11" s="377">
        <v>258.57299999999998</v>
      </c>
      <c r="E11" s="377">
        <v>285.07799999999997</v>
      </c>
      <c r="F11" s="378">
        <v>296</v>
      </c>
      <c r="G11" s="378">
        <v>294</v>
      </c>
      <c r="H11" s="378">
        <v>278</v>
      </c>
      <c r="I11" s="379">
        <v>265</v>
      </c>
      <c r="J11" s="379">
        <v>268</v>
      </c>
      <c r="K11" s="379">
        <v>287</v>
      </c>
      <c r="L11" s="379">
        <v>222</v>
      </c>
      <c r="M11" s="380">
        <v>277.5</v>
      </c>
      <c r="N11" s="381">
        <v>244</v>
      </c>
      <c r="O11" s="382">
        <v>268</v>
      </c>
      <c r="P11" s="382">
        <v>213</v>
      </c>
      <c r="Q11" s="383">
        <f>P11/O11-1</f>
        <v>-0.20522388059701491</v>
      </c>
    </row>
    <row r="12" spans="1:24" ht="14.15" customHeight="1">
      <c r="A12" s="376" t="s">
        <v>166</v>
      </c>
      <c r="B12" s="385">
        <v>203.59700000000001</v>
      </c>
      <c r="C12" s="385">
        <v>172.60400000000001</v>
      </c>
      <c r="D12" s="385">
        <v>181.43700000000001</v>
      </c>
      <c r="E12" s="385">
        <v>144.184</v>
      </c>
      <c r="F12" s="386">
        <v>113.7</v>
      </c>
      <c r="G12" s="386">
        <v>129</v>
      </c>
      <c r="H12" s="386">
        <v>149</v>
      </c>
      <c r="I12" s="387">
        <v>142</v>
      </c>
      <c r="J12" s="387">
        <v>139</v>
      </c>
      <c r="K12" s="387">
        <v>88</v>
      </c>
      <c r="L12" s="387">
        <v>85</v>
      </c>
      <c r="M12" s="388">
        <v>95.5</v>
      </c>
      <c r="N12" s="389">
        <v>85.4</v>
      </c>
      <c r="O12" s="390">
        <v>86</v>
      </c>
      <c r="P12" s="390">
        <v>76</v>
      </c>
      <c r="Q12" s="391">
        <f>P12/O12-1</f>
        <v>-0.11627906976744184</v>
      </c>
      <c r="U12" s="361"/>
    </row>
    <row r="13" spans="1:24" ht="14.15" customHeight="1">
      <c r="A13" s="392"/>
      <c r="B13" s="393"/>
      <c r="C13" s="393"/>
      <c r="D13" s="393"/>
      <c r="E13" s="393"/>
      <c r="F13" s="362"/>
      <c r="G13" s="362"/>
      <c r="H13" s="362"/>
      <c r="I13" s="362"/>
      <c r="J13" s="362"/>
      <c r="K13" s="362"/>
      <c r="L13" s="362"/>
      <c r="M13" s="394"/>
      <c r="N13" s="395"/>
      <c r="O13" s="395"/>
      <c r="P13" s="395"/>
      <c r="Q13" s="362"/>
      <c r="U13" s="361"/>
    </row>
    <row r="14" spans="1:24" ht="14.15" customHeight="1">
      <c r="A14" s="360" t="s">
        <v>167</v>
      </c>
      <c r="B14" s="395">
        <f t="shared" ref="B14:K14" si="0">B12+B11</f>
        <v>442.79600000000005</v>
      </c>
      <c r="C14" s="396">
        <f t="shared" si="0"/>
        <v>415.9</v>
      </c>
      <c r="D14" s="395">
        <f t="shared" si="0"/>
        <v>440.01</v>
      </c>
      <c r="E14" s="396">
        <f t="shared" si="0"/>
        <v>429.26199999999994</v>
      </c>
      <c r="F14" s="395">
        <f t="shared" si="0"/>
        <v>409.7</v>
      </c>
      <c r="G14" s="396">
        <f t="shared" si="0"/>
        <v>423</v>
      </c>
      <c r="H14" s="395">
        <f t="shared" si="0"/>
        <v>427</v>
      </c>
      <c r="I14" s="395">
        <f t="shared" si="0"/>
        <v>407</v>
      </c>
      <c r="J14" s="395">
        <f t="shared" si="0"/>
        <v>407</v>
      </c>
      <c r="K14" s="395">
        <f t="shared" si="0"/>
        <v>375</v>
      </c>
      <c r="L14" s="395">
        <v>307</v>
      </c>
      <c r="M14" s="397">
        <f>M11+M12</f>
        <v>373</v>
      </c>
      <c r="N14" s="395">
        <f>N11+N12</f>
        <v>329.4</v>
      </c>
      <c r="O14" s="395">
        <f>O11+O12</f>
        <v>354</v>
      </c>
      <c r="P14" s="395">
        <f>P11+P12</f>
        <v>289</v>
      </c>
      <c r="Q14" s="398">
        <f>P14/O14-1</f>
        <v>-0.18361581920903958</v>
      </c>
      <c r="U14" s="361"/>
    </row>
    <row r="15" spans="1:24" ht="12" customHeight="1">
      <c r="A15" s="392"/>
      <c r="B15" s="360"/>
      <c r="C15" s="360"/>
      <c r="D15" s="360"/>
      <c r="E15" s="360"/>
      <c r="F15" s="360"/>
      <c r="G15" s="364"/>
      <c r="H15" s="360"/>
      <c r="I15" s="360"/>
      <c r="J15" s="360"/>
      <c r="K15" s="360"/>
      <c r="L15" s="360"/>
      <c r="M15" s="361"/>
      <c r="N15" s="364"/>
      <c r="O15" s="364"/>
      <c r="P15" s="364"/>
      <c r="Q15" s="399"/>
      <c r="R15" s="399"/>
      <c r="S15" s="399"/>
      <c r="T15" s="399"/>
    </row>
    <row r="16" spans="1:24" ht="15" customHeight="1">
      <c r="A16" s="360" t="s">
        <v>168</v>
      </c>
    </row>
    <row r="17" spans="15:28" ht="12" customHeight="1">
      <c r="O17" s="360"/>
    </row>
    <row r="18" spans="15:28" ht="12" customHeight="1">
      <c r="U18" s="400"/>
    </row>
    <row r="19" spans="15:28" ht="12" customHeight="1">
      <c r="U19" s="400"/>
    </row>
    <row r="23" spans="15:28" ht="12" customHeight="1">
      <c r="AB23" s="401"/>
    </row>
    <row r="24" spans="15:28" ht="12" customHeight="1">
      <c r="AB24" s="401"/>
    </row>
    <row r="25" spans="15:28" ht="12" customHeight="1">
      <c r="AB25" s="401"/>
    </row>
    <row r="26" spans="15:28" ht="12" customHeight="1">
      <c r="AB26" s="402"/>
    </row>
    <row r="27" spans="15:28" ht="12" customHeight="1">
      <c r="AB27" s="402"/>
    </row>
    <row r="28" spans="15:28" ht="12" customHeight="1">
      <c r="AB28" s="402"/>
    </row>
    <row r="29" spans="15:28" ht="12" customHeight="1">
      <c r="AB29" s="402"/>
    </row>
    <row r="30" spans="15:28" ht="12" customHeight="1">
      <c r="AB30" s="401"/>
    </row>
    <row r="31" spans="15:28" ht="12" customHeight="1">
      <c r="AB31" s="401"/>
    </row>
    <row r="32" spans="15:28" ht="12" customHeight="1">
      <c r="AB32" s="401"/>
    </row>
    <row r="33" spans="2:28" ht="12" customHeight="1">
      <c r="AB33" s="401"/>
    </row>
    <row r="39" spans="2:28" ht="12" customHeight="1">
      <c r="B39" s="360"/>
      <c r="G39" s="392"/>
    </row>
    <row r="42" spans="2:28" ht="12" customHeight="1">
      <c r="G42" s="360"/>
    </row>
    <row r="43" spans="2:28" ht="12" customHeight="1">
      <c r="G43" s="360"/>
      <c r="N43" s="403"/>
      <c r="Q43" s="403" t="s">
        <v>169</v>
      </c>
    </row>
    <row r="44" spans="2:28" ht="12" customHeight="1">
      <c r="G44" s="360"/>
    </row>
    <row r="46" spans="2:28" ht="12" customHeight="1">
      <c r="G46" s="360"/>
    </row>
    <row r="47" spans="2:28" ht="12" customHeight="1">
      <c r="G47" s="360"/>
    </row>
    <row r="48" spans="2:28" ht="12" customHeight="1">
      <c r="B48" s="403"/>
    </row>
    <row r="49" spans="1:22" ht="12" customHeight="1">
      <c r="I49" s="365"/>
      <c r="J49" s="365"/>
      <c r="M49" s="361"/>
      <c r="N49" s="361"/>
      <c r="O49" s="361"/>
      <c r="P49" s="361"/>
    </row>
    <row r="50" spans="1:22" ht="12" customHeight="1" thickBot="1">
      <c r="B50" s="404"/>
      <c r="C50" s="369"/>
      <c r="D50" s="369"/>
      <c r="E50" s="369"/>
      <c r="F50" s="369"/>
      <c r="G50" s="369"/>
      <c r="H50" s="369"/>
      <c r="M50" s="361"/>
      <c r="N50" s="361"/>
      <c r="O50" s="361"/>
      <c r="P50" s="361"/>
      <c r="U50" s="361"/>
    </row>
    <row r="51" spans="1:22" ht="32.25" customHeight="1">
      <c r="A51" s="405" t="s">
        <v>163</v>
      </c>
      <c r="B51" s="406">
        <v>2012</v>
      </c>
      <c r="C51" s="406">
        <v>2013</v>
      </c>
      <c r="D51" s="406">
        <v>2014</v>
      </c>
      <c r="E51" s="406">
        <v>2015</v>
      </c>
      <c r="F51" s="406">
        <v>2016</v>
      </c>
      <c r="G51" s="406">
        <v>2017</v>
      </c>
      <c r="H51" s="406">
        <v>2018</v>
      </c>
      <c r="I51" s="406">
        <v>2019</v>
      </c>
      <c r="J51" s="406">
        <v>2020</v>
      </c>
      <c r="K51" s="406">
        <v>2021</v>
      </c>
      <c r="L51" s="406">
        <v>2022</v>
      </c>
      <c r="M51" s="407">
        <v>2023</v>
      </c>
      <c r="N51" s="408">
        <v>2024</v>
      </c>
      <c r="O51" s="408" t="s">
        <v>170</v>
      </c>
      <c r="P51" s="361"/>
      <c r="U51" s="361"/>
    </row>
    <row r="52" spans="1:22" ht="21" customHeight="1">
      <c r="A52" s="409" t="s">
        <v>171</v>
      </c>
      <c r="B52" s="410">
        <f>181437/1000</f>
        <v>181.43700000000001</v>
      </c>
      <c r="C52" s="410">
        <f>144184/1000</f>
        <v>144.184</v>
      </c>
      <c r="D52" s="410">
        <f>113700/1000</f>
        <v>113.7</v>
      </c>
      <c r="E52" s="410">
        <f>114050/1000</f>
        <v>114.05</v>
      </c>
      <c r="F52" s="410">
        <v>141</v>
      </c>
      <c r="G52" s="410">
        <v>142</v>
      </c>
      <c r="H52" s="410">
        <v>139</v>
      </c>
      <c r="I52" s="410">
        <v>88</v>
      </c>
      <c r="J52" s="410">
        <v>85</v>
      </c>
      <c r="K52" s="410">
        <v>95.5</v>
      </c>
      <c r="L52" s="410">
        <v>85</v>
      </c>
      <c r="M52" s="411">
        <v>86</v>
      </c>
      <c r="N52" s="412">
        <v>76</v>
      </c>
      <c r="O52" s="412">
        <f>AVERAGE(I52:M52)</f>
        <v>87.9</v>
      </c>
      <c r="P52" s="361"/>
      <c r="U52" s="361"/>
    </row>
    <row r="53" spans="1:22" ht="14.15" customHeight="1">
      <c r="A53" s="405" t="s">
        <v>172</v>
      </c>
      <c r="B53" s="413"/>
      <c r="C53" s="413"/>
      <c r="D53" s="413"/>
      <c r="E53" s="413"/>
      <c r="F53" s="413"/>
      <c r="G53" s="413"/>
      <c r="H53" s="413"/>
      <c r="I53" s="413"/>
      <c r="J53" s="413"/>
      <c r="K53" s="413"/>
      <c r="L53" s="413"/>
      <c r="M53" s="413"/>
      <c r="N53" s="414"/>
      <c r="O53" s="414"/>
      <c r="P53" s="361"/>
      <c r="U53" s="361"/>
    </row>
    <row r="54" spans="1:22" ht="14.15" customHeight="1">
      <c r="A54" s="415" t="s">
        <v>173</v>
      </c>
      <c r="B54" s="416">
        <f>55545/1000</f>
        <v>55.545000000000002</v>
      </c>
      <c r="C54" s="416">
        <f>44496/1000</f>
        <v>44.496000000000002</v>
      </c>
      <c r="D54" s="416">
        <f>33300/1000</f>
        <v>33.299999999999997</v>
      </c>
      <c r="E54" s="416">
        <v>43</v>
      </c>
      <c r="F54" s="416">
        <v>48</v>
      </c>
      <c r="G54" s="416">
        <v>48</v>
      </c>
      <c r="H54" s="416">
        <v>47</v>
      </c>
      <c r="I54" s="416">
        <v>31</v>
      </c>
      <c r="J54" s="416">
        <v>31</v>
      </c>
      <c r="K54" s="416">
        <v>33</v>
      </c>
      <c r="L54" s="416">
        <v>29</v>
      </c>
      <c r="M54" s="417">
        <v>29</v>
      </c>
      <c r="N54" s="418">
        <v>26</v>
      </c>
      <c r="O54" s="418">
        <f>AVERAGE(I54:M54)</f>
        <v>30.6</v>
      </c>
      <c r="P54" s="361"/>
      <c r="U54" s="361"/>
    </row>
    <row r="55" spans="1:22" ht="14.15" customHeight="1">
      <c r="A55" s="415" t="s">
        <v>174</v>
      </c>
      <c r="B55" s="416">
        <f>37210/1000</f>
        <v>37.21</v>
      </c>
      <c r="C55" s="416">
        <f>33300/1000</f>
        <v>33.299999999999997</v>
      </c>
      <c r="D55" s="416">
        <f>29700/1000</f>
        <v>29.7</v>
      </c>
      <c r="E55" s="416">
        <v>32</v>
      </c>
      <c r="F55" s="416">
        <v>34</v>
      </c>
      <c r="G55" s="416">
        <v>31</v>
      </c>
      <c r="H55" s="416">
        <v>30</v>
      </c>
      <c r="I55" s="416">
        <v>22</v>
      </c>
      <c r="J55" s="416">
        <v>22</v>
      </c>
      <c r="K55" s="416">
        <v>22</v>
      </c>
      <c r="L55" s="416">
        <v>20</v>
      </c>
      <c r="M55" s="417">
        <v>20</v>
      </c>
      <c r="N55" s="418">
        <v>17</v>
      </c>
      <c r="O55" s="418">
        <f t="shared" ref="O55:O58" si="1">AVERAGE(I55:M55)</f>
        <v>21.2</v>
      </c>
      <c r="P55" s="361"/>
      <c r="U55" s="361"/>
    </row>
    <row r="56" spans="1:22" ht="14.15" customHeight="1">
      <c r="A56" s="415" t="s">
        <v>175</v>
      </c>
      <c r="B56" s="416">
        <f>29944/1000</f>
        <v>29.943999999999999</v>
      </c>
      <c r="C56" s="416">
        <f>19977/1000</f>
        <v>19.977</v>
      </c>
      <c r="D56" s="416">
        <f>10900/1000</f>
        <v>10.9</v>
      </c>
      <c r="E56" s="416">
        <v>15</v>
      </c>
      <c r="F56" s="416">
        <v>18</v>
      </c>
      <c r="G56" s="416">
        <v>17</v>
      </c>
      <c r="H56" s="416">
        <v>18</v>
      </c>
      <c r="I56" s="416">
        <v>8</v>
      </c>
      <c r="J56" s="416">
        <v>9</v>
      </c>
      <c r="K56" s="416">
        <v>11</v>
      </c>
      <c r="L56" s="416">
        <v>11</v>
      </c>
      <c r="M56" s="417">
        <v>12</v>
      </c>
      <c r="N56" s="418">
        <v>10</v>
      </c>
      <c r="O56" s="418">
        <f t="shared" si="1"/>
        <v>10.199999999999999</v>
      </c>
      <c r="P56" s="361"/>
      <c r="U56" s="361"/>
    </row>
    <row r="57" spans="1:22" ht="14.15" customHeight="1">
      <c r="A57" s="415" t="s">
        <v>48</v>
      </c>
      <c r="B57" s="416">
        <f>17445/1000</f>
        <v>17.445</v>
      </c>
      <c r="C57" s="416">
        <f>15100/1000</f>
        <v>15.1</v>
      </c>
      <c r="D57" s="416">
        <f>15300/1000</f>
        <v>15.3</v>
      </c>
      <c r="E57" s="416">
        <f>13000/1000</f>
        <v>13</v>
      </c>
      <c r="F57" s="416">
        <v>16</v>
      </c>
      <c r="G57" s="416">
        <v>13</v>
      </c>
      <c r="H57" s="416">
        <v>12</v>
      </c>
      <c r="I57" s="416">
        <v>8</v>
      </c>
      <c r="J57" s="416">
        <v>7</v>
      </c>
      <c r="K57" s="416">
        <v>9</v>
      </c>
      <c r="L57" s="416">
        <v>9</v>
      </c>
      <c r="M57" s="417">
        <v>9</v>
      </c>
      <c r="N57" s="418">
        <v>9</v>
      </c>
      <c r="O57" s="418">
        <f t="shared" si="1"/>
        <v>8.4</v>
      </c>
      <c r="P57" s="361"/>
      <c r="U57" s="361"/>
    </row>
    <row r="58" spans="1:22" ht="14.15" customHeight="1">
      <c r="A58" s="409" t="s">
        <v>176</v>
      </c>
      <c r="B58" s="396">
        <f>SUM(B54:B57)</f>
        <v>140.14400000000001</v>
      </c>
      <c r="C58" s="396">
        <f t="shared" ref="C58:I58" si="2">SUM(C54:C57)</f>
        <v>112.87299999999999</v>
      </c>
      <c r="D58" s="396">
        <f t="shared" si="2"/>
        <v>89.2</v>
      </c>
      <c r="E58" s="396">
        <f t="shared" si="2"/>
        <v>103</v>
      </c>
      <c r="F58" s="396">
        <f t="shared" si="2"/>
        <v>116</v>
      </c>
      <c r="G58" s="396">
        <f t="shared" si="2"/>
        <v>109</v>
      </c>
      <c r="H58" s="396">
        <f t="shared" si="2"/>
        <v>107</v>
      </c>
      <c r="I58" s="419">
        <f t="shared" si="2"/>
        <v>69</v>
      </c>
      <c r="J58" s="396">
        <v>69</v>
      </c>
      <c r="K58" s="396">
        <f>K54+K55+K56+K57</f>
        <v>75</v>
      </c>
      <c r="L58" s="396">
        <v>68</v>
      </c>
      <c r="M58" s="419">
        <f>SUM(M54:M57)</f>
        <v>70</v>
      </c>
      <c r="N58" s="420">
        <f>N54+N55+N56+N57</f>
        <v>62</v>
      </c>
      <c r="O58" s="420">
        <f t="shared" si="1"/>
        <v>70.2</v>
      </c>
      <c r="P58" s="361"/>
      <c r="U58" s="361"/>
    </row>
    <row r="59" spans="1:22" ht="14.15" customHeight="1" thickBot="1">
      <c r="A59" s="409" t="s">
        <v>177</v>
      </c>
      <c r="B59" s="421">
        <f>B58/B52</f>
        <v>0.77241136041711445</v>
      </c>
      <c r="C59" s="421">
        <f t="shared" ref="C59:I59" si="3">C58/C52</f>
        <v>0.78283998224490925</v>
      </c>
      <c r="D59" s="421">
        <f t="shared" si="3"/>
        <v>0.78452066842568158</v>
      </c>
      <c r="E59" s="421">
        <f t="shared" si="3"/>
        <v>0.90311266988163086</v>
      </c>
      <c r="F59" s="421">
        <f t="shared" si="3"/>
        <v>0.82269503546099287</v>
      </c>
      <c r="G59" s="421">
        <f t="shared" si="3"/>
        <v>0.76760563380281688</v>
      </c>
      <c r="H59" s="421">
        <f t="shared" si="3"/>
        <v>0.76978417266187049</v>
      </c>
      <c r="I59" s="422">
        <f t="shared" si="3"/>
        <v>0.78409090909090906</v>
      </c>
      <c r="J59" s="421">
        <v>0.81179999999999997</v>
      </c>
      <c r="K59" s="421">
        <f>K58/K52</f>
        <v>0.78534031413612571</v>
      </c>
      <c r="L59" s="421">
        <f>L58/L52</f>
        <v>0.8</v>
      </c>
      <c r="M59" s="422">
        <f>M58/M52</f>
        <v>0.81395348837209303</v>
      </c>
      <c r="N59" s="423">
        <f>N58/N52</f>
        <v>0.81578947368421051</v>
      </c>
      <c r="O59" s="423">
        <f>O58/O52</f>
        <v>0.79863481228668942</v>
      </c>
      <c r="P59" s="361"/>
      <c r="U59" s="361"/>
    </row>
    <row r="60" spans="1:22" ht="12" customHeight="1">
      <c r="B60" s="360"/>
      <c r="C60" s="360"/>
      <c r="D60" s="360"/>
      <c r="E60" s="360"/>
      <c r="F60" s="360"/>
      <c r="G60" s="364"/>
      <c r="H60" s="364"/>
      <c r="I60" s="399"/>
      <c r="J60" s="399"/>
      <c r="M60" s="361"/>
      <c r="N60" s="361"/>
      <c r="O60" s="361"/>
      <c r="P60" s="361"/>
      <c r="U60" s="361"/>
    </row>
    <row r="61" spans="1:22" ht="15" customHeight="1">
      <c r="M61" s="361"/>
      <c r="N61" s="361"/>
      <c r="O61" s="361"/>
      <c r="P61" s="361"/>
      <c r="U61" s="361"/>
    </row>
    <row r="62" spans="1:22" ht="12" customHeight="1">
      <c r="A62" s="360" t="s">
        <v>178</v>
      </c>
      <c r="M62" s="361"/>
      <c r="N62" s="360"/>
      <c r="O62" s="361"/>
      <c r="P62" s="361"/>
      <c r="U62" s="361"/>
    </row>
    <row r="63" spans="1:22" ht="12" customHeight="1">
      <c r="M63" s="361"/>
      <c r="Q63" s="360" t="s">
        <v>178</v>
      </c>
      <c r="U63" s="361"/>
      <c r="V63" s="363"/>
    </row>
    <row r="64" spans="1:22" ht="12" customHeight="1">
      <c r="A64" s="424"/>
      <c r="B64" s="424"/>
      <c r="C64" s="424"/>
      <c r="D64" s="424"/>
      <c r="E64" s="424"/>
      <c r="F64" s="424"/>
      <c r="G64" s="424"/>
      <c r="H64" s="424"/>
      <c r="I64" s="424"/>
      <c r="J64" s="424"/>
      <c r="K64" s="424"/>
      <c r="L64" s="425"/>
      <c r="M64" s="361"/>
      <c r="Q64" s="362"/>
      <c r="U64" s="361"/>
      <c r="V64" s="363"/>
    </row>
    <row r="65" spans="2:11" ht="12" customHeight="1">
      <c r="B65" s="426"/>
      <c r="C65" s="426"/>
      <c r="D65" s="426"/>
      <c r="E65" s="426"/>
      <c r="F65" s="426"/>
      <c r="G65" s="426"/>
      <c r="H65" s="426"/>
      <c r="I65" s="426"/>
      <c r="J65" s="426"/>
      <c r="K65" s="425"/>
    </row>
  </sheetData>
  <sheetProtection selectLockedCells="1" selectUnlockedCells="1"/>
  <hyperlinks>
    <hyperlink ref="X1" location="'Sommaire&amp;Méthodo'!A1" display="Retour Sommaire" xr:uid="{00000000-0004-0000-0700-000000000000}"/>
  </hyperlinks>
  <pageMargins left="0.74791666666666667" right="0.74791666666666667" top="0.98402777777777772" bottom="0.98402777777777772" header="0.51180555555555551" footer="0.51180555555555551"/>
  <pageSetup paperSize="9" firstPageNumber="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Sommaire&amp;Méthodo</vt:lpstr>
      <vt:lpstr>Calendrier_Estim_production</vt:lpstr>
      <vt:lpstr>GC_Estim1_11_SURF_RDT_24_25</vt:lpstr>
      <vt:lpstr>GC_Estim1_11_SURF_24_25</vt:lpstr>
      <vt:lpstr>GC_Estim1_11_RDT_24_25</vt:lpstr>
      <vt:lpstr>Cotations_cereales</vt:lpstr>
      <vt:lpstr>Cotations_oleoproteagineux</vt:lpstr>
      <vt:lpstr>Evol.sole-régionale_Blés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Virginie JUVENEL</dc:creator>
  <cp:lastModifiedBy>Virginie JUVENEL</cp:lastModifiedBy>
  <cp:revision>1</cp:revision>
  <cp:lastPrinted>2025-01-07T16:24:25Z</cp:lastPrinted>
  <dcterms:created xsi:type="dcterms:W3CDTF">2022-12-06T11:37:04Z</dcterms:created>
  <dcterms:modified xsi:type="dcterms:W3CDTF">2025-11-27T10:38:47Z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11.5606</vt:lpwstr>
  </property>
</Properties>
</file>