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A:\02-politiques_publiques\13-connaissances_statistiques\06-suivi_conjoncturel\05-grandes cultures\2025\publi\juillet_2025\"/>
    </mc:Choice>
  </mc:AlternateContent>
  <bookViews>
    <workbookView xWindow="0" yWindow="0" windowWidth="19200" windowHeight="7050" tabRatio="834" activeTab="2"/>
  </bookViews>
  <sheets>
    <sheet name="Sommaire&amp;Méthodo" sheetId="17" r:id="rId1"/>
    <sheet name="Calendrier_Estim_production" sheetId="2" r:id="rId2"/>
    <sheet name="GC_Estim1_07_SURF_RDT_24_25" sheetId="13" r:id="rId3"/>
    <sheet name="GC_Estim1_07_SURF_24_25" sheetId="15" r:id="rId4"/>
    <sheet name="GC_Estim1_07_RDT_24_25" sheetId="14" r:id="rId5"/>
    <sheet name="Cotations_cereales" sheetId="9" r:id="rId6"/>
    <sheet name="Cotations_oleoproteagineux" sheetId="10" r:id="rId7"/>
    <sheet name="Evol.sole-régionale_Blés" sheetId="7" r:id="rId8"/>
  </sheets>
  <calcPr calcId="162913"/>
  <customWorkbookViews>
    <customWorkbookView name="Utilisateur Windows - Affichage personnalisé" guid="{ED3D59C6-95D8-425D-B182-A385DC662969}" mergeInterval="0" personalView="1" maximized="1" xWindow="-2109" yWindow="-193" windowWidth="2118" windowHeight="1293" tabRatio="500" activeSheetId="4" showComments="commIndAndComment"/>
  </customWorkbookViews>
</workbook>
</file>

<file path=xl/calcChain.xml><?xml version="1.0" encoding="utf-8"?>
<calcChain xmlns="http://schemas.openxmlformats.org/spreadsheetml/2006/main">
  <c r="Q84" i="14" l="1"/>
  <c r="Q83" i="14"/>
  <c r="Q82" i="14"/>
  <c r="Q81" i="14" l="1"/>
  <c r="Q80" i="14"/>
  <c r="Q79" i="14"/>
  <c r="Q78" i="14"/>
  <c r="Q39" i="14"/>
  <c r="Q38" i="14"/>
  <c r="Q37" i="14"/>
  <c r="Q36" i="14"/>
  <c r="Q42" i="14" s="1"/>
  <c r="Q32" i="14"/>
  <c r="Q31" i="14"/>
  <c r="Q30" i="14"/>
  <c r="Q29" i="14"/>
  <c r="Q35" i="14" s="1"/>
  <c r="Q25" i="14"/>
  <c r="Q24" i="14"/>
  <c r="Q23" i="14"/>
  <c r="Q22" i="14"/>
  <c r="Q28" i="14" s="1"/>
  <c r="Q21" i="14"/>
  <c r="Q20" i="14"/>
  <c r="Q19" i="14"/>
  <c r="Q95" i="15"/>
  <c r="Q94" i="15"/>
  <c r="Q93" i="15"/>
  <c r="Q92" i="15"/>
  <c r="Q98" i="15" s="1"/>
  <c r="Q88" i="15"/>
  <c r="Q87" i="15"/>
  <c r="Q86" i="15"/>
  <c r="Q85" i="15"/>
  <c r="Q91" i="15" s="1"/>
  <c r="Q81" i="15"/>
  <c r="Q80" i="15"/>
  <c r="Q79" i="15"/>
  <c r="Q78" i="15"/>
  <c r="Q84" i="15" s="1"/>
  <c r="Q74" i="15"/>
  <c r="Q73" i="15"/>
  <c r="Q72" i="15"/>
  <c r="Q71" i="15"/>
  <c r="Q77" i="15" s="1"/>
  <c r="Q67" i="15"/>
  <c r="Q66" i="15"/>
  <c r="Q65" i="15"/>
  <c r="Q64" i="15"/>
  <c r="Q70" i="15" s="1"/>
  <c r="Q62" i="15"/>
  <c r="Q61" i="15"/>
  <c r="Q60" i="15"/>
  <c r="Q59" i="15"/>
  <c r="Q58" i="15"/>
  <c r="Q57" i="15"/>
  <c r="Q63" i="15" s="1"/>
  <c r="Q53" i="15"/>
  <c r="Q52" i="15"/>
  <c r="Q51" i="15"/>
  <c r="Q50" i="15"/>
  <c r="Q56" i="15" s="1"/>
  <c r="Q46" i="15"/>
  <c r="Q45" i="15"/>
  <c r="Q44" i="15"/>
  <c r="Q43" i="15"/>
  <c r="Q49" i="15" s="1"/>
  <c r="Q42" i="15"/>
  <c r="Q41" i="15"/>
  <c r="Q39" i="15"/>
  <c r="Q38" i="15"/>
  <c r="Q37" i="15"/>
  <c r="Q36" i="15"/>
  <c r="Q40" i="15" s="1"/>
  <c r="Q32" i="15"/>
  <c r="Q31" i="15"/>
  <c r="Q30" i="15"/>
  <c r="Q29" i="15"/>
  <c r="Q35" i="15" s="1"/>
  <c r="Q25" i="15"/>
  <c r="Q24" i="15"/>
  <c r="Q23" i="15"/>
  <c r="Q22" i="15"/>
  <c r="Q28" i="15" s="1"/>
  <c r="Q21" i="15"/>
  <c r="Q20" i="15"/>
  <c r="Q19" i="15"/>
  <c r="Q35" i="13"/>
  <c r="P43" i="13"/>
  <c r="P40" i="13"/>
  <c r="P38" i="13"/>
  <c r="P36" i="13"/>
  <c r="N98" i="15"/>
  <c r="M98" i="15"/>
  <c r="L98" i="15"/>
  <c r="K98" i="15"/>
  <c r="J98" i="15"/>
  <c r="I98" i="15"/>
  <c r="H98" i="15"/>
  <c r="G98" i="15"/>
  <c r="F98" i="15"/>
  <c r="E98" i="15"/>
  <c r="D98" i="15"/>
  <c r="N97" i="15"/>
  <c r="M97" i="15"/>
  <c r="L97" i="15"/>
  <c r="K97" i="15"/>
  <c r="J97" i="15"/>
  <c r="I97" i="15"/>
  <c r="H97" i="15"/>
  <c r="G97" i="15"/>
  <c r="F97" i="15"/>
  <c r="E97" i="15"/>
  <c r="D97" i="15"/>
  <c r="N96" i="15"/>
  <c r="M96" i="15"/>
  <c r="L96" i="15"/>
  <c r="K96" i="15"/>
  <c r="J96" i="15"/>
  <c r="I96" i="15"/>
  <c r="H96" i="15"/>
  <c r="G96" i="15"/>
  <c r="F96" i="15"/>
  <c r="E96" i="15"/>
  <c r="D96" i="15"/>
  <c r="P84" i="15"/>
  <c r="O84" i="15"/>
  <c r="N84" i="15"/>
  <c r="M84" i="15"/>
  <c r="L84" i="15"/>
  <c r="K84" i="15"/>
  <c r="J84" i="15"/>
  <c r="I84" i="15"/>
  <c r="H84" i="15"/>
  <c r="G84" i="15"/>
  <c r="F84" i="15"/>
  <c r="E84" i="15"/>
  <c r="D84" i="15"/>
  <c r="P83" i="15"/>
  <c r="O83" i="15"/>
  <c r="N83" i="15"/>
  <c r="M83" i="15"/>
  <c r="L83" i="15"/>
  <c r="K83" i="15"/>
  <c r="J83" i="15"/>
  <c r="I83" i="15"/>
  <c r="H83" i="15"/>
  <c r="G83" i="15"/>
  <c r="F83" i="15"/>
  <c r="E83" i="15"/>
  <c r="D83" i="15"/>
  <c r="P82" i="15"/>
  <c r="O82" i="15"/>
  <c r="N82" i="15"/>
  <c r="M82" i="15"/>
  <c r="L82" i="15"/>
  <c r="K82" i="15"/>
  <c r="J82" i="15"/>
  <c r="I82" i="15"/>
  <c r="H82" i="15"/>
  <c r="G82" i="15"/>
  <c r="F82" i="15"/>
  <c r="E82" i="15"/>
  <c r="D82" i="15"/>
  <c r="P77" i="15"/>
  <c r="O77" i="15"/>
  <c r="N77" i="15"/>
  <c r="M77" i="15"/>
  <c r="L77" i="15"/>
  <c r="K77" i="15"/>
  <c r="J77" i="15"/>
  <c r="I77" i="15"/>
  <c r="H77" i="15"/>
  <c r="G77" i="15"/>
  <c r="F77" i="15"/>
  <c r="E77" i="15"/>
  <c r="D77" i="15"/>
  <c r="P76" i="15"/>
  <c r="O76" i="15"/>
  <c r="N76" i="15"/>
  <c r="M76" i="15"/>
  <c r="L76" i="15"/>
  <c r="K76" i="15"/>
  <c r="J76" i="15"/>
  <c r="I76" i="15"/>
  <c r="H76" i="15"/>
  <c r="G76" i="15"/>
  <c r="F76" i="15"/>
  <c r="E76" i="15"/>
  <c r="D76" i="15"/>
  <c r="N75" i="15"/>
  <c r="M75" i="15"/>
  <c r="L75" i="15"/>
  <c r="K75" i="15"/>
  <c r="J75" i="15"/>
  <c r="I75" i="15"/>
  <c r="H75" i="15"/>
  <c r="G75" i="15"/>
  <c r="F75" i="15"/>
  <c r="E75" i="15"/>
  <c r="D75" i="15"/>
  <c r="P63" i="15"/>
  <c r="N63" i="15"/>
  <c r="M63" i="15"/>
  <c r="L63" i="15"/>
  <c r="K63" i="15"/>
  <c r="J63" i="15"/>
  <c r="I63" i="15"/>
  <c r="H63" i="15"/>
  <c r="G63" i="15"/>
  <c r="F63" i="15"/>
  <c r="E63" i="15"/>
  <c r="D63" i="15"/>
  <c r="P62" i="15"/>
  <c r="N62" i="15"/>
  <c r="M62" i="15"/>
  <c r="L62" i="15"/>
  <c r="K62" i="15"/>
  <c r="J62" i="15"/>
  <c r="I62" i="15"/>
  <c r="H62" i="15"/>
  <c r="G62" i="15"/>
  <c r="F62" i="15"/>
  <c r="E62" i="15"/>
  <c r="D62" i="15"/>
  <c r="P61" i="15"/>
  <c r="N61" i="15"/>
  <c r="M61" i="15"/>
  <c r="L61" i="15"/>
  <c r="K61" i="15"/>
  <c r="J61" i="15"/>
  <c r="I61" i="15"/>
  <c r="H61" i="15"/>
  <c r="G61" i="15"/>
  <c r="F61" i="15"/>
  <c r="E61" i="15"/>
  <c r="D61" i="15"/>
  <c r="P56" i="15"/>
  <c r="N56" i="15"/>
  <c r="M56" i="15"/>
  <c r="L56" i="15"/>
  <c r="K56" i="15"/>
  <c r="J56" i="15"/>
  <c r="I56" i="15"/>
  <c r="H56" i="15"/>
  <c r="G56" i="15"/>
  <c r="F56" i="15"/>
  <c r="E56" i="15"/>
  <c r="D56" i="15"/>
  <c r="P55" i="15"/>
  <c r="N55" i="15"/>
  <c r="M55" i="15"/>
  <c r="L55" i="15"/>
  <c r="K55" i="15"/>
  <c r="J55" i="15"/>
  <c r="I55" i="15"/>
  <c r="H55" i="15"/>
  <c r="G55" i="15"/>
  <c r="F55" i="15"/>
  <c r="E55" i="15"/>
  <c r="D55" i="15"/>
  <c r="N54" i="15"/>
  <c r="M54" i="15"/>
  <c r="L54" i="15"/>
  <c r="K54" i="15"/>
  <c r="J54" i="15"/>
  <c r="I54" i="15"/>
  <c r="H54" i="15"/>
  <c r="G54" i="15"/>
  <c r="F54" i="15"/>
  <c r="E54" i="15"/>
  <c r="D54" i="15"/>
  <c r="P49" i="15"/>
  <c r="N49" i="15"/>
  <c r="M49" i="15"/>
  <c r="L49" i="15"/>
  <c r="K49" i="15"/>
  <c r="J49" i="15"/>
  <c r="I49" i="15"/>
  <c r="H49" i="15"/>
  <c r="G49" i="15"/>
  <c r="F49" i="15"/>
  <c r="E49" i="15"/>
  <c r="D49" i="15"/>
  <c r="P48" i="15"/>
  <c r="N48" i="15"/>
  <c r="M48" i="15"/>
  <c r="L48" i="15"/>
  <c r="K48" i="15"/>
  <c r="J48" i="15"/>
  <c r="I48" i="15"/>
  <c r="H48" i="15"/>
  <c r="G48" i="15"/>
  <c r="F48" i="15"/>
  <c r="E48" i="15"/>
  <c r="D48" i="15"/>
  <c r="P47" i="15"/>
  <c r="N47" i="15"/>
  <c r="M47" i="15"/>
  <c r="L47" i="15"/>
  <c r="K47" i="15"/>
  <c r="J47" i="15"/>
  <c r="I47" i="15"/>
  <c r="H47" i="15"/>
  <c r="G47" i="15"/>
  <c r="F47" i="15"/>
  <c r="E47" i="15"/>
  <c r="D47" i="15"/>
  <c r="P42" i="15"/>
  <c r="O42" i="15"/>
  <c r="N42" i="15"/>
  <c r="M42" i="15"/>
  <c r="L42" i="15"/>
  <c r="K42" i="15"/>
  <c r="J42" i="15"/>
  <c r="I42" i="15"/>
  <c r="H42" i="15"/>
  <c r="G42" i="15"/>
  <c r="F42" i="15"/>
  <c r="E42" i="15"/>
  <c r="D42" i="15"/>
  <c r="P41" i="15"/>
  <c r="O41" i="15"/>
  <c r="N41" i="15"/>
  <c r="M41" i="15"/>
  <c r="L41" i="15"/>
  <c r="K41" i="15"/>
  <c r="J41" i="15"/>
  <c r="I41" i="15"/>
  <c r="H41" i="15"/>
  <c r="G41" i="15"/>
  <c r="F41" i="15"/>
  <c r="E41" i="15"/>
  <c r="D41" i="15"/>
  <c r="P40" i="15"/>
  <c r="O40" i="15"/>
  <c r="N40" i="15"/>
  <c r="M40" i="15"/>
  <c r="L40" i="15"/>
  <c r="K40" i="15"/>
  <c r="J40" i="15"/>
  <c r="I40" i="15"/>
  <c r="H40" i="15"/>
  <c r="G40" i="15"/>
  <c r="F40" i="15"/>
  <c r="E40" i="15"/>
  <c r="D40" i="15"/>
  <c r="P35" i="15"/>
  <c r="O35" i="15"/>
  <c r="N35" i="15"/>
  <c r="M35" i="15"/>
  <c r="L35" i="15"/>
  <c r="K35" i="15"/>
  <c r="J35" i="15"/>
  <c r="I35" i="15"/>
  <c r="H35" i="15"/>
  <c r="G35" i="15"/>
  <c r="F35" i="15"/>
  <c r="E35" i="15"/>
  <c r="D35" i="15"/>
  <c r="P34" i="15"/>
  <c r="O34" i="15"/>
  <c r="N34" i="15"/>
  <c r="M34" i="15"/>
  <c r="L34" i="15"/>
  <c r="K34" i="15"/>
  <c r="J34" i="15"/>
  <c r="I34" i="15"/>
  <c r="H34" i="15"/>
  <c r="G34" i="15"/>
  <c r="F34" i="15"/>
  <c r="E34" i="15"/>
  <c r="D34" i="15"/>
  <c r="P33" i="15"/>
  <c r="O33" i="15"/>
  <c r="N33" i="15"/>
  <c r="M33" i="15"/>
  <c r="L33" i="15"/>
  <c r="K33" i="15"/>
  <c r="J33" i="15"/>
  <c r="I33" i="15"/>
  <c r="H33" i="15"/>
  <c r="G33" i="15"/>
  <c r="F33" i="15"/>
  <c r="E33" i="15"/>
  <c r="D33" i="15"/>
  <c r="P28" i="15"/>
  <c r="O28" i="15"/>
  <c r="N28" i="15"/>
  <c r="M28" i="15"/>
  <c r="L28" i="15"/>
  <c r="K28" i="15"/>
  <c r="J28" i="15"/>
  <c r="I28" i="15"/>
  <c r="H28" i="15"/>
  <c r="G28" i="15"/>
  <c r="F28" i="15"/>
  <c r="E28" i="15"/>
  <c r="D28" i="15"/>
  <c r="P27" i="15"/>
  <c r="O27" i="15"/>
  <c r="N27" i="15"/>
  <c r="M27" i="15"/>
  <c r="L27" i="15"/>
  <c r="K27" i="15"/>
  <c r="J27" i="15"/>
  <c r="I27" i="15"/>
  <c r="H27" i="15"/>
  <c r="G27" i="15"/>
  <c r="F27" i="15"/>
  <c r="E27" i="15"/>
  <c r="D27" i="15"/>
  <c r="P26" i="15"/>
  <c r="O26" i="15"/>
  <c r="N26" i="15"/>
  <c r="M26" i="15"/>
  <c r="L26" i="15"/>
  <c r="K26" i="15"/>
  <c r="J26" i="15"/>
  <c r="I26" i="15"/>
  <c r="H26" i="15"/>
  <c r="G26" i="15"/>
  <c r="F26" i="15"/>
  <c r="E26" i="15"/>
  <c r="D26" i="15"/>
  <c r="P21" i="15"/>
  <c r="O21" i="15"/>
  <c r="N21" i="15"/>
  <c r="M21" i="15"/>
  <c r="L21" i="15"/>
  <c r="K21" i="15"/>
  <c r="J21" i="15"/>
  <c r="I21" i="15"/>
  <c r="H21" i="15"/>
  <c r="G21" i="15"/>
  <c r="F21" i="15"/>
  <c r="E21" i="15"/>
  <c r="P20" i="15"/>
  <c r="O20" i="15"/>
  <c r="N20" i="15"/>
  <c r="M20" i="15"/>
  <c r="L20" i="15"/>
  <c r="K20" i="15"/>
  <c r="J20" i="15"/>
  <c r="I20" i="15"/>
  <c r="H20" i="15"/>
  <c r="G20" i="15"/>
  <c r="F20" i="15"/>
  <c r="E20" i="15"/>
  <c r="P19" i="15"/>
  <c r="O19" i="15"/>
  <c r="N19" i="15"/>
  <c r="M19" i="15"/>
  <c r="L19" i="15"/>
  <c r="K19" i="15"/>
  <c r="J19" i="15"/>
  <c r="I19" i="15"/>
  <c r="H19" i="15"/>
  <c r="G19" i="15"/>
  <c r="F19" i="15"/>
  <c r="E19" i="15"/>
  <c r="D21" i="15"/>
  <c r="D20" i="15"/>
  <c r="D19" i="15"/>
  <c r="Q18" i="15"/>
  <c r="Q17" i="15"/>
  <c r="Q16" i="15"/>
  <c r="Q15" i="15"/>
  <c r="Q40" i="14" l="1"/>
  <c r="Q41" i="14"/>
  <c r="Q33" i="14"/>
  <c r="Q34" i="14"/>
  <c r="Q26" i="14"/>
  <c r="Q27" i="14"/>
  <c r="Q96" i="15"/>
  <c r="Q97" i="15"/>
  <c r="Q89" i="15"/>
  <c r="Q90" i="15"/>
  <c r="Q82" i="15"/>
  <c r="Q83" i="15"/>
  <c r="Q75" i="15"/>
  <c r="Q76" i="15"/>
  <c r="Q68" i="15"/>
  <c r="Q69" i="15"/>
  <c r="Q54" i="15"/>
  <c r="Q55" i="15"/>
  <c r="Q47" i="15"/>
  <c r="Q48" i="15"/>
  <c r="Q33" i="15"/>
  <c r="Q34" i="15"/>
  <c r="Q26" i="15"/>
  <c r="Q27" i="15"/>
  <c r="B100" i="14"/>
  <c r="B100" i="15"/>
  <c r="E59" i="9" l="1"/>
  <c r="E38" i="10"/>
  <c r="E21" i="10"/>
  <c r="E23" i="9"/>
  <c r="P58" i="13" l="1"/>
  <c r="S58" i="13" s="1"/>
  <c r="P56" i="13"/>
  <c r="S56" i="13" s="1"/>
  <c r="P49" i="13"/>
  <c r="R49" i="13" s="1"/>
  <c r="P34" i="13"/>
  <c r="R34" i="13" s="1"/>
  <c r="P32" i="13"/>
  <c r="S32" i="13" s="1"/>
  <c r="P30" i="13"/>
  <c r="S30" i="13" s="1"/>
  <c r="P28" i="13"/>
  <c r="S28" i="13" s="1"/>
  <c r="P26" i="13"/>
  <c r="S26" i="13" s="1"/>
  <c r="P24" i="13"/>
  <c r="S24" i="13" s="1"/>
  <c r="P22" i="13"/>
  <c r="R22" i="13" s="1"/>
  <c r="P20" i="13"/>
  <c r="S20" i="13" s="1"/>
  <c r="P18" i="13"/>
  <c r="S18" i="13" s="1"/>
  <c r="Q58" i="13" l="1"/>
  <c r="R58" i="13"/>
  <c r="Q56" i="13"/>
  <c r="R56" i="13"/>
  <c r="Q49" i="13"/>
  <c r="S49" i="13"/>
  <c r="Q34" i="13"/>
  <c r="S34" i="13"/>
  <c r="R32" i="13"/>
  <c r="Q32" i="13"/>
  <c r="Q30" i="13"/>
  <c r="R30" i="13"/>
  <c r="Q28" i="13"/>
  <c r="R28" i="13"/>
  <c r="Q26" i="13"/>
  <c r="R26" i="13"/>
  <c r="Q24" i="13"/>
  <c r="R24" i="13"/>
  <c r="S22" i="13"/>
  <c r="Q22" i="13"/>
  <c r="Q20" i="13"/>
  <c r="R20" i="13"/>
  <c r="Q18" i="13"/>
  <c r="R18" i="13"/>
  <c r="P57" i="13"/>
  <c r="Q57" i="13" s="1"/>
  <c r="P55" i="13"/>
  <c r="R55" i="13" s="1"/>
  <c r="P33" i="13"/>
  <c r="Q33" i="13" s="1"/>
  <c r="P31" i="13"/>
  <c r="S31" i="13" s="1"/>
  <c r="P29" i="13"/>
  <c r="S29" i="13" s="1"/>
  <c r="P27" i="13"/>
  <c r="S27" i="13" s="1"/>
  <c r="P23" i="13"/>
  <c r="S23" i="13" s="1"/>
  <c r="P21" i="13"/>
  <c r="S21" i="13" s="1"/>
  <c r="P19" i="13"/>
  <c r="S19" i="13" s="1"/>
  <c r="P17" i="13"/>
  <c r="Q17" i="13" s="1"/>
  <c r="P16" i="13"/>
  <c r="P15" i="13"/>
  <c r="S15" i="13" s="1"/>
  <c r="R43" i="13"/>
  <c r="R40" i="13"/>
  <c r="R38" i="13"/>
  <c r="R36" i="13"/>
  <c r="Q16" i="13" l="1"/>
  <c r="R16" i="13"/>
  <c r="R57" i="13"/>
  <c r="S57" i="13"/>
  <c r="S55" i="13"/>
  <c r="Q55" i="13"/>
  <c r="S33" i="13"/>
  <c r="R33" i="13"/>
  <c r="Q31" i="13"/>
  <c r="R31" i="13"/>
  <c r="Q29" i="13"/>
  <c r="R29" i="13"/>
  <c r="Q27" i="13"/>
  <c r="R27" i="13"/>
  <c r="Q23" i="13"/>
  <c r="R23" i="13"/>
  <c r="Q21" i="13"/>
  <c r="R21" i="13"/>
  <c r="R19" i="13"/>
  <c r="Q19" i="13"/>
  <c r="R17" i="13"/>
  <c r="S17" i="13"/>
  <c r="S16" i="13"/>
  <c r="Q15" i="13"/>
  <c r="R15" i="13"/>
  <c r="E31" i="10" l="1"/>
  <c r="E32" i="10"/>
  <c r="E33" i="10"/>
  <c r="E34" i="10"/>
  <c r="E36" i="10"/>
  <c r="E37" i="10"/>
  <c r="E58" i="9"/>
  <c r="E35" i="9"/>
  <c r="E36" i="9"/>
  <c r="E37" i="9"/>
  <c r="E38" i="9"/>
  <c r="E39" i="9"/>
  <c r="E40" i="9"/>
  <c r="E53" i="9"/>
  <c r="E54" i="9"/>
  <c r="E55" i="9"/>
  <c r="E56" i="9"/>
  <c r="E57" i="9"/>
  <c r="E15" i="10" l="1"/>
  <c r="E16" i="10"/>
  <c r="E17" i="10"/>
  <c r="E18" i="10"/>
  <c r="E19" i="10"/>
  <c r="E20" i="10"/>
  <c r="E17" i="9"/>
  <c r="E18" i="9"/>
  <c r="E19" i="9"/>
  <c r="E20" i="9"/>
  <c r="E21" i="9"/>
  <c r="E22" i="9"/>
  <c r="X59" i="13" l="1"/>
  <c r="X54" i="13"/>
  <c r="X42" i="13"/>
  <c r="X45" i="13" s="1"/>
  <c r="Y35" i="13"/>
  <c r="X35" i="13"/>
  <c r="W35" i="13"/>
  <c r="V35" i="13"/>
  <c r="U35" i="13"/>
  <c r="O35" i="13"/>
  <c r="N35" i="13"/>
  <c r="M35" i="13"/>
  <c r="L35" i="13"/>
  <c r="K35" i="13"/>
  <c r="J35" i="13"/>
  <c r="I35" i="13"/>
  <c r="H35" i="13"/>
  <c r="G35" i="13"/>
  <c r="F35" i="13"/>
  <c r="C35" i="13"/>
  <c r="X60" i="13" l="1"/>
  <c r="P61" i="13"/>
  <c r="Y59" i="13"/>
  <c r="W59" i="13"/>
  <c r="V59" i="13"/>
  <c r="U59" i="13"/>
  <c r="O59" i="13"/>
  <c r="N59" i="13"/>
  <c r="M59" i="13"/>
  <c r="L59" i="13"/>
  <c r="K59" i="13"/>
  <c r="J59" i="13"/>
  <c r="I59" i="13"/>
  <c r="H59" i="13"/>
  <c r="G59" i="13"/>
  <c r="F59" i="13"/>
  <c r="E59" i="13"/>
  <c r="D59" i="13"/>
  <c r="C59" i="13"/>
  <c r="Y54" i="13"/>
  <c r="W54" i="13"/>
  <c r="V54" i="13"/>
  <c r="U54" i="13"/>
  <c r="O54" i="13"/>
  <c r="N54" i="13"/>
  <c r="M54" i="13"/>
  <c r="L54" i="13"/>
  <c r="K54" i="13"/>
  <c r="J54" i="13"/>
  <c r="I54" i="13"/>
  <c r="H54" i="13"/>
  <c r="G54" i="13"/>
  <c r="F54" i="13"/>
  <c r="E54" i="13"/>
  <c r="D54" i="13"/>
  <c r="C54" i="13"/>
  <c r="P52" i="13"/>
  <c r="P50" i="13"/>
  <c r="P48" i="13"/>
  <c r="P46" i="13"/>
  <c r="S43" i="13"/>
  <c r="Q43" i="13"/>
  <c r="Y42" i="13"/>
  <c r="Y60" i="13" s="1"/>
  <c r="W42" i="13"/>
  <c r="W45" i="13" s="1"/>
  <c r="V42" i="13"/>
  <c r="V60" i="13" s="1"/>
  <c r="U42" i="13"/>
  <c r="U45" i="13" s="1"/>
  <c r="O42" i="13"/>
  <c r="N42" i="13"/>
  <c r="M42" i="13"/>
  <c r="L42" i="13"/>
  <c r="K42" i="13"/>
  <c r="J42" i="13"/>
  <c r="I42" i="13"/>
  <c r="H42" i="13"/>
  <c r="G42" i="13"/>
  <c r="F42" i="13"/>
  <c r="E42" i="13"/>
  <c r="D42" i="13"/>
  <c r="C42" i="13"/>
  <c r="S40" i="13"/>
  <c r="Q40" i="13"/>
  <c r="S38" i="13"/>
  <c r="Q38" i="13"/>
  <c r="S36" i="13"/>
  <c r="Q36" i="13"/>
  <c r="L45" i="13"/>
  <c r="E35" i="13"/>
  <c r="D35" i="13"/>
  <c r="D45" i="13" s="1"/>
  <c r="P25" i="13"/>
  <c r="S50" i="13" l="1"/>
  <c r="R50" i="13"/>
  <c r="S52" i="13"/>
  <c r="R52" i="13"/>
  <c r="U60" i="13"/>
  <c r="W60" i="13"/>
  <c r="S48" i="13"/>
  <c r="R48" i="13"/>
  <c r="S61" i="13"/>
  <c r="R61" i="13"/>
  <c r="Q25" i="13"/>
  <c r="S25" i="13"/>
  <c r="R25" i="13"/>
  <c r="P35" i="13"/>
  <c r="R35" i="13" s="1"/>
  <c r="S46" i="13"/>
  <c r="R46" i="13"/>
  <c r="P59" i="13"/>
  <c r="R59" i="13" s="1"/>
  <c r="Q50" i="13"/>
  <c r="P54" i="13"/>
  <c r="R54" i="13" s="1"/>
  <c r="E45" i="13"/>
  <c r="E60" i="13" s="1"/>
  <c r="M45" i="13"/>
  <c r="M60" i="13" s="1"/>
  <c r="P42" i="13"/>
  <c r="C45" i="13"/>
  <c r="C60" i="13" s="1"/>
  <c r="K45" i="13"/>
  <c r="K60" i="13" s="1"/>
  <c r="G45" i="13"/>
  <c r="G60" i="13" s="1"/>
  <c r="H45" i="13"/>
  <c r="H60" i="13" s="1"/>
  <c r="I45" i="13"/>
  <c r="I60" i="13" s="1"/>
  <c r="N45" i="13"/>
  <c r="N60" i="13" s="1"/>
  <c r="O45" i="13"/>
  <c r="O60" i="13" s="1"/>
  <c r="J45" i="13"/>
  <c r="J60" i="13" s="1"/>
  <c r="S54" i="13"/>
  <c r="Q54" i="13"/>
  <c r="D60" i="13"/>
  <c r="L60" i="13"/>
  <c r="F45" i="13"/>
  <c r="F60" i="13" s="1"/>
  <c r="Y45" i="13"/>
  <c r="Q48" i="13"/>
  <c r="Q46" i="13"/>
  <c r="Q52" i="13"/>
  <c r="Q61" i="13"/>
  <c r="V45" i="13"/>
  <c r="S42" i="13" l="1"/>
  <c r="R42" i="13"/>
  <c r="S35" i="13"/>
  <c r="S59" i="13"/>
  <c r="Q59" i="13"/>
  <c r="Q42" i="13"/>
  <c r="P60" i="13"/>
  <c r="R60" i="13" s="1"/>
  <c r="P45" i="13"/>
  <c r="R45" i="13" s="1"/>
  <c r="Q60" i="13" l="1"/>
  <c r="S60" i="13"/>
  <c r="S45" i="13"/>
  <c r="Q45" i="13"/>
  <c r="E30" i="10" l="1"/>
  <c r="E29" i="10"/>
  <c r="E28" i="10"/>
  <c r="E27" i="10"/>
  <c r="E14" i="10"/>
  <c r="E13" i="10"/>
  <c r="E12" i="10"/>
  <c r="E11" i="10"/>
  <c r="E10" i="10"/>
  <c r="E52" i="9"/>
  <c r="E51" i="9"/>
  <c r="E50" i="9"/>
  <c r="E49" i="9"/>
  <c r="E48" i="9"/>
  <c r="E34" i="9"/>
  <c r="E33" i="9"/>
  <c r="E32" i="9"/>
  <c r="E31" i="9"/>
  <c r="E30" i="9"/>
  <c r="E16" i="9"/>
  <c r="E15" i="9"/>
  <c r="E14" i="9"/>
  <c r="E13" i="9"/>
  <c r="E12" i="9"/>
  <c r="Z12" i="7" l="1"/>
  <c r="Z11" i="7"/>
  <c r="Y14" i="7"/>
  <c r="P57" i="7"/>
  <c r="P56" i="7"/>
  <c r="P55" i="7"/>
  <c r="P54" i="7"/>
  <c r="P52" i="7"/>
  <c r="O58" i="7"/>
  <c r="O59" i="7" s="1"/>
  <c r="N59" i="7" l="1"/>
  <c r="X14" i="7"/>
  <c r="Z14" i="7" s="1"/>
  <c r="M58" i="7" l="1"/>
  <c r="M59" i="7" s="1"/>
  <c r="K58" i="7"/>
  <c r="K59" i="7" s="1"/>
  <c r="J58" i="7"/>
  <c r="I58" i="7"/>
  <c r="H58" i="7"/>
  <c r="H59" i="7" s="1"/>
  <c r="G57" i="7"/>
  <c r="G58" i="7" s="1"/>
  <c r="F57" i="7"/>
  <c r="E57" i="7"/>
  <c r="D57" i="7"/>
  <c r="C57" i="7"/>
  <c r="B57" i="7"/>
  <c r="F56" i="7"/>
  <c r="E56" i="7"/>
  <c r="D56" i="7"/>
  <c r="C56" i="7"/>
  <c r="B56" i="7"/>
  <c r="F55" i="7"/>
  <c r="E55" i="7"/>
  <c r="D55" i="7"/>
  <c r="C55" i="7"/>
  <c r="B55" i="7"/>
  <c r="F54" i="7"/>
  <c r="E54" i="7"/>
  <c r="D54" i="7"/>
  <c r="C54" i="7"/>
  <c r="B54" i="7"/>
  <c r="G52" i="7"/>
  <c r="F52" i="7"/>
  <c r="E52" i="7"/>
  <c r="D52" i="7"/>
  <c r="C52" i="7"/>
  <c r="B52" i="7"/>
  <c r="W14" i="7"/>
  <c r="U14" i="7"/>
  <c r="T14" i="7"/>
  <c r="S14" i="7"/>
  <c r="R14" i="7"/>
  <c r="Q14" i="7"/>
  <c r="P14" i="7"/>
  <c r="O14" i="7"/>
  <c r="N14" i="7"/>
  <c r="M14" i="7"/>
  <c r="L14" i="7"/>
  <c r="K14" i="7"/>
  <c r="J14" i="7"/>
  <c r="I14" i="7"/>
  <c r="H14" i="7"/>
  <c r="G14" i="7"/>
  <c r="F14" i="7"/>
  <c r="E14" i="7"/>
  <c r="D14" i="7"/>
  <c r="C14" i="7"/>
  <c r="B14" i="7"/>
  <c r="J59" i="7" l="1"/>
  <c r="P58" i="7"/>
  <c r="P59" i="7" s="1"/>
  <c r="I59" i="7"/>
  <c r="E58" i="7"/>
  <c r="E59" i="7" s="1"/>
  <c r="C58" i="7"/>
  <c r="C59" i="7" s="1"/>
  <c r="D58" i="7"/>
  <c r="D59" i="7" s="1"/>
  <c r="G59" i="7"/>
  <c r="B58" i="7"/>
  <c r="B59" i="7" s="1"/>
  <c r="F58" i="7"/>
  <c r="F59" i="7" s="1"/>
  <c r="Q15" i="14"/>
  <c r="Q18" i="14"/>
  <c r="Q16" i="14"/>
  <c r="Q17" i="14"/>
  <c r="Q59" i="14"/>
  <c r="Q52" i="14"/>
  <c r="Q65" i="14"/>
  <c r="Q72" i="14"/>
  <c r="Q66" i="14"/>
  <c r="Q53" i="14"/>
  <c r="Q74" i="14"/>
  <c r="Q86" i="14"/>
  <c r="Q58" i="14"/>
  <c r="Q95" i="14"/>
  <c r="Q51" i="14"/>
  <c r="Q87" i="14"/>
  <c r="Q94" i="14"/>
  <c r="Q60" i="14"/>
  <c r="Q67" i="14"/>
  <c r="Q93" i="14"/>
  <c r="Q46" i="14"/>
  <c r="Q45" i="14"/>
  <c r="Q73" i="14"/>
  <c r="Q44" i="14"/>
  <c r="Q88" i="14"/>
</calcChain>
</file>

<file path=xl/sharedStrings.xml><?xml version="1.0" encoding="utf-8"?>
<sst xmlns="http://schemas.openxmlformats.org/spreadsheetml/2006/main" count="525" uniqueCount="187">
  <si>
    <t>Evolution de la sole régionale des blés</t>
  </si>
  <si>
    <t>Calendrier de parution des informations Grandes cultures</t>
  </si>
  <si>
    <t>Surface</t>
  </si>
  <si>
    <t>Surface et production</t>
  </si>
  <si>
    <t>Déc</t>
  </si>
  <si>
    <t>Janv</t>
  </si>
  <si>
    <t>Fév</t>
  </si>
  <si>
    <t>Mars</t>
  </si>
  <si>
    <t>Avril</t>
  </si>
  <si>
    <t>Mai</t>
  </si>
  <si>
    <t>Juin</t>
  </si>
  <si>
    <t>Juillet</t>
  </si>
  <si>
    <t>Août</t>
  </si>
  <si>
    <t>Sept</t>
  </si>
  <si>
    <t>Oct</t>
  </si>
  <si>
    <t>Nov</t>
  </si>
  <si>
    <t>Blé tendre d'hiver</t>
  </si>
  <si>
    <t>Blé tendre de printemps</t>
  </si>
  <si>
    <t>Blé dur d'hiver</t>
  </si>
  <si>
    <t>Blé dur de printemps</t>
  </si>
  <si>
    <t>Orge, escourgeon d'hiver</t>
  </si>
  <si>
    <t>Orge, esc.de printemps</t>
  </si>
  <si>
    <t>Avoine d'hiver</t>
  </si>
  <si>
    <t>Avoine de printemps</t>
  </si>
  <si>
    <t>Seigle</t>
  </si>
  <si>
    <t>Triticale</t>
  </si>
  <si>
    <t>Maïs</t>
  </si>
  <si>
    <t>Sorgho</t>
  </si>
  <si>
    <t>Colza d'hiver</t>
  </si>
  <si>
    <t>Colza de printemps</t>
  </si>
  <si>
    <t>Tournesol</t>
  </si>
  <si>
    <t>Soja</t>
  </si>
  <si>
    <t>Féveroles</t>
  </si>
  <si>
    <t>Pois secs</t>
  </si>
  <si>
    <t>Lupin doux</t>
  </si>
  <si>
    <t>Betteraves</t>
  </si>
  <si>
    <t>Pommes de terre</t>
  </si>
  <si>
    <t>Jachère agronomique</t>
  </si>
  <si>
    <t>Source : Agreste - situation mensuelle grandes cultures</t>
  </si>
  <si>
    <t>Ariège</t>
  </si>
  <si>
    <t>Aveyron</t>
  </si>
  <si>
    <t>Haute-Garonne</t>
  </si>
  <si>
    <t>Gers</t>
  </si>
  <si>
    <t>Lot</t>
  </si>
  <si>
    <t>Hautes-Pyrénées</t>
  </si>
  <si>
    <t>Tarn</t>
  </si>
  <si>
    <t>Tarn-et-Garonne</t>
  </si>
  <si>
    <t>Aude</t>
  </si>
  <si>
    <t>Gard</t>
  </si>
  <si>
    <t>Hérault</t>
  </si>
  <si>
    <t>Total Occitanie</t>
  </si>
  <si>
    <t>Bassin Midi-pyrénées</t>
  </si>
  <si>
    <t>Bassin Languedoc-Roussillon</t>
  </si>
  <si>
    <t>(1) : Surfaces issues des estimations précoces de production</t>
  </si>
  <si>
    <t>Evolution des cotations des céréales, marché France métropolitaine, base juillet</t>
  </si>
  <si>
    <t>Evolution des cotations de blé tendre, rendu Rouen (base juillet)</t>
  </si>
  <si>
    <t>juil</t>
  </si>
  <si>
    <t>aout</t>
  </si>
  <si>
    <t>sept</t>
  </si>
  <si>
    <t>oct</t>
  </si>
  <si>
    <t>nov</t>
  </si>
  <si>
    <t>déc</t>
  </si>
  <si>
    <t>janv</t>
  </si>
  <si>
    <t>fév</t>
  </si>
  <si>
    <t>mars</t>
  </si>
  <si>
    <t>avril</t>
  </si>
  <si>
    <t>mai</t>
  </si>
  <si>
    <t>juin</t>
  </si>
  <si>
    <t>Euro/
Tonne</t>
  </si>
  <si>
    <t>Evolution des cotations de maïs, FOB Atlantique (base juillet)</t>
  </si>
  <si>
    <t>Euro/
Tonnes</t>
  </si>
  <si>
    <t>Evolution des cotations de Colza, rendu Rouen</t>
  </si>
  <si>
    <t>Evolution des cotations de Tournesol, rendu Bordeaux</t>
  </si>
  <si>
    <t>Evolution des surfaces de blé Occitanie  depuis 2000 (1000 ha)</t>
  </si>
  <si>
    <t>Année</t>
  </si>
  <si>
    <t>Blé tendre</t>
  </si>
  <si>
    <t>Blé dur</t>
  </si>
  <si>
    <t>Total sole blé</t>
  </si>
  <si>
    <t>Evolution des surfaces de blé dur Occitanie</t>
  </si>
  <si>
    <t>Evolution des surfaces de blé dur Occitanie (1000 ha)</t>
  </si>
  <si>
    <t>Occitanie</t>
  </si>
  <si>
    <t>dont</t>
  </si>
  <si>
    <t xml:space="preserve">Haute-Garonne </t>
  </si>
  <si>
    <t xml:space="preserve"> Aude</t>
  </si>
  <si>
    <t xml:space="preserve"> Gers</t>
  </si>
  <si>
    <t>Total des 4 départements</t>
  </si>
  <si>
    <t>Part des 4 départements</t>
  </si>
  <si>
    <t>Unités : ha, qx/ha, %</t>
  </si>
  <si>
    <t>2023-2024</t>
  </si>
  <si>
    <t>juillet</t>
  </si>
  <si>
    <t>OCCITANIE</t>
  </si>
  <si>
    <t>Evolution  2022/2023</t>
  </si>
  <si>
    <t>Moyenne2018/2022</t>
  </si>
  <si>
    <t>Unités : ha, Qx/ha</t>
  </si>
  <si>
    <r>
      <rPr>
        <b/>
        <sz val="9"/>
        <rFont val="Marianne"/>
        <family val="3"/>
      </rPr>
      <t xml:space="preserve">Cultures </t>
    </r>
    <r>
      <rPr>
        <sz val="9"/>
        <rFont val="Marianne"/>
        <family val="3"/>
      </rPr>
      <t>(1)</t>
    </r>
  </si>
  <si>
    <r>
      <rPr>
        <b/>
        <sz val="9"/>
        <rFont val="Marianne"/>
        <family val="3"/>
      </rPr>
      <t xml:space="preserve"> S</t>
    </r>
    <r>
      <rPr>
        <sz val="9"/>
        <rFont val="Marianne"/>
        <family val="3"/>
      </rPr>
      <t>eigle</t>
    </r>
  </si>
  <si>
    <r>
      <rPr>
        <sz val="9"/>
        <rFont val="Marianne"/>
        <family val="3"/>
      </rPr>
      <t xml:space="preserve"> </t>
    </r>
    <r>
      <rPr>
        <b/>
        <sz val="9"/>
        <rFont val="Marianne"/>
        <family val="3"/>
      </rPr>
      <t>O</t>
    </r>
    <r>
      <rPr>
        <sz val="9"/>
        <rFont val="Marianne"/>
        <family val="3"/>
      </rPr>
      <t>rge et 
escourgeon d'hiver</t>
    </r>
  </si>
  <si>
    <r>
      <rPr>
        <sz val="9"/>
        <rFont val="Marianne"/>
        <family val="3"/>
      </rPr>
      <t xml:space="preserve"> </t>
    </r>
    <r>
      <rPr>
        <b/>
        <sz val="9"/>
        <rFont val="Marianne"/>
        <family val="3"/>
      </rPr>
      <t>O</t>
    </r>
    <r>
      <rPr>
        <sz val="9"/>
        <rFont val="Marianne"/>
        <family val="3"/>
      </rPr>
      <t>rge et 
escourgeon de printemps</t>
    </r>
  </si>
  <si>
    <r>
      <rPr>
        <b/>
        <sz val="9"/>
        <rFont val="Marianne"/>
        <family val="3"/>
      </rPr>
      <t xml:space="preserve"> T</t>
    </r>
    <r>
      <rPr>
        <sz val="9"/>
        <rFont val="Marianne"/>
        <family val="3"/>
      </rPr>
      <t>riticale</t>
    </r>
  </si>
  <si>
    <r>
      <rPr>
        <sz val="9"/>
        <rFont val="Marianne"/>
        <family val="3"/>
      </rPr>
      <t xml:space="preserve"> </t>
    </r>
    <r>
      <rPr>
        <b/>
        <sz val="9"/>
        <rFont val="Marianne"/>
        <family val="3"/>
      </rPr>
      <t>M</t>
    </r>
    <r>
      <rPr>
        <sz val="9"/>
        <rFont val="Marianne"/>
        <family val="3"/>
      </rPr>
      <t>aïs grain irrigué</t>
    </r>
  </si>
  <si>
    <r>
      <rPr>
        <sz val="9"/>
        <rFont val="Marianne"/>
        <family val="3"/>
      </rPr>
      <t xml:space="preserve"> </t>
    </r>
    <r>
      <rPr>
        <b/>
        <sz val="9"/>
        <rFont val="Marianne"/>
        <family val="3"/>
      </rPr>
      <t>M</t>
    </r>
    <r>
      <rPr>
        <sz val="9"/>
        <rFont val="Marianne"/>
        <family val="3"/>
      </rPr>
      <t>aïs grain en sec</t>
    </r>
  </si>
  <si>
    <r>
      <rPr>
        <sz val="9"/>
        <rFont val="Marianne"/>
        <family val="3"/>
      </rPr>
      <t xml:space="preserve"> </t>
    </r>
    <r>
      <rPr>
        <b/>
        <sz val="9"/>
        <rFont val="Marianne"/>
        <family val="3"/>
      </rPr>
      <t>M</t>
    </r>
    <r>
      <rPr>
        <sz val="9"/>
        <rFont val="Marianne"/>
        <family val="3"/>
      </rPr>
      <t>aïs semence</t>
    </r>
  </si>
  <si>
    <r>
      <rPr>
        <sz val="9"/>
        <rFont val="Marianne"/>
        <family val="3"/>
      </rPr>
      <t xml:space="preserve"> </t>
    </r>
    <r>
      <rPr>
        <b/>
        <sz val="9"/>
        <rFont val="Marianne"/>
        <family val="3"/>
      </rPr>
      <t>S</t>
    </r>
    <r>
      <rPr>
        <sz val="9"/>
        <rFont val="Marianne"/>
        <family val="3"/>
      </rPr>
      <t>orgho grain</t>
    </r>
  </si>
  <si>
    <r>
      <rPr>
        <b/>
        <sz val="9"/>
        <rFont val="Marianne"/>
        <family val="3"/>
      </rPr>
      <t xml:space="preserve"> T</t>
    </r>
    <r>
      <rPr>
        <sz val="9"/>
        <rFont val="Marianne"/>
        <family val="3"/>
      </rPr>
      <t>ournesol</t>
    </r>
  </si>
  <si>
    <r>
      <rPr>
        <b/>
        <sz val="9"/>
        <rFont val="Marianne"/>
        <family val="3"/>
      </rPr>
      <t xml:space="preserve"> S</t>
    </r>
    <r>
      <rPr>
        <sz val="9"/>
        <rFont val="Marianne"/>
        <family val="3"/>
      </rPr>
      <t>oja</t>
    </r>
  </si>
  <si>
    <r>
      <rPr>
        <sz val="9"/>
        <rFont val="Marianne"/>
        <family val="3"/>
      </rPr>
      <t xml:space="preserve"> </t>
    </r>
    <r>
      <rPr>
        <b/>
        <sz val="9"/>
        <rFont val="Marianne"/>
        <family val="3"/>
      </rPr>
      <t>F</t>
    </r>
    <r>
      <rPr>
        <sz val="9"/>
        <rFont val="Marianne"/>
        <family val="3"/>
      </rPr>
      <t>éveroles</t>
    </r>
  </si>
  <si>
    <r>
      <rPr>
        <sz val="9"/>
        <rFont val="Marianne"/>
        <family val="3"/>
      </rPr>
      <t xml:space="preserve"> </t>
    </r>
    <r>
      <rPr>
        <b/>
        <sz val="9"/>
        <rFont val="Marianne"/>
        <family val="3"/>
      </rPr>
      <t>P</t>
    </r>
    <r>
      <rPr>
        <sz val="9"/>
        <rFont val="Marianne"/>
        <family val="3"/>
      </rPr>
      <t>ois  protéagineux</t>
    </r>
  </si>
  <si>
    <r>
      <rPr>
        <sz val="9"/>
        <rFont val="Marianne"/>
        <family val="3"/>
      </rPr>
      <t xml:space="preserve"> </t>
    </r>
    <r>
      <rPr>
        <b/>
        <sz val="9"/>
        <rFont val="Marianne"/>
        <family val="3"/>
      </rPr>
      <t>M</t>
    </r>
    <r>
      <rPr>
        <sz val="9"/>
        <rFont val="Marianne"/>
        <family val="3"/>
      </rPr>
      <t>aïs fourrage et ensilage</t>
    </r>
  </si>
  <si>
    <t xml:space="preserve">Rendement </t>
  </si>
  <si>
    <t>Total céréales à paille</t>
  </si>
  <si>
    <t>Total Maïs (hors fourrage)</t>
  </si>
  <si>
    <t>Total Protéagineux</t>
  </si>
  <si>
    <t>Evol/2024</t>
  </si>
  <si>
    <r>
      <t xml:space="preserve"> C</t>
    </r>
    <r>
      <rPr>
        <sz val="9"/>
        <rFont val="Marianne"/>
        <family val="3"/>
      </rPr>
      <t>olza (et navette) d'hiver</t>
    </r>
  </si>
  <si>
    <t>Moyenne 2019-2023</t>
  </si>
  <si>
    <t>2024-2025</t>
  </si>
  <si>
    <t>Evol. 2023/2024</t>
  </si>
  <si>
    <t>source : FranceAgriMer</t>
  </si>
  <si>
    <t>source : Agreste</t>
  </si>
  <si>
    <t>Campagne de production 2025 (estimations précoces de production)</t>
  </si>
  <si>
    <t>Riz</t>
  </si>
  <si>
    <t xml:space="preserve">(2) : Évolutions des surfaces en % calculées par comparaison aux estimations Agreste de la campagne précédente - SAA </t>
  </si>
  <si>
    <t xml:space="preserve">(3) : Évolutions des surfaces et rendements (respectivement  en % et en Qx/ha) calculés par comparaison aux estimations moyennes des 5 dernières campagnes - Agreste  - SAA </t>
  </si>
  <si>
    <t>Source - Agreste - Statistique agricole annuelle 2023</t>
  </si>
  <si>
    <t xml:space="preserve">Source - Agreste - Statistique agricole annuelle </t>
  </si>
  <si>
    <t>Source - Agreste - Statistique agricole annuelle  2023</t>
  </si>
  <si>
    <t>Evolution des cotations de blé dur, FOB Port-la-nouvelle (base juillet)</t>
  </si>
  <si>
    <t xml:space="preserve">Unités : ha, qx/ha, % </t>
  </si>
  <si>
    <t>Lozère</t>
  </si>
  <si>
    <t>Pyrénées-Orientales</t>
  </si>
  <si>
    <t>Grandes cultures : SAA 2024</t>
  </si>
  <si>
    <r>
      <rPr>
        <sz val="9"/>
        <rFont val="Marianne"/>
        <family val="3"/>
      </rPr>
      <t xml:space="preserve"> </t>
    </r>
    <r>
      <rPr>
        <b/>
        <sz val="9"/>
        <rFont val="Marianne"/>
        <family val="3"/>
      </rPr>
      <t>B</t>
    </r>
    <r>
      <rPr>
        <sz val="9"/>
        <rFont val="Marianne"/>
        <family val="3"/>
      </rPr>
      <t>lé tendre  d'hiver</t>
    </r>
  </si>
  <si>
    <r>
      <rPr>
        <sz val="9"/>
        <rFont val="Marianne"/>
        <family val="3"/>
      </rPr>
      <t xml:space="preserve"> </t>
    </r>
    <r>
      <rPr>
        <b/>
        <sz val="9"/>
        <rFont val="Marianne"/>
        <family val="3"/>
      </rPr>
      <t>B</t>
    </r>
    <r>
      <rPr>
        <sz val="9"/>
        <rFont val="Marianne"/>
        <family val="3"/>
      </rPr>
      <t>lé tendre de printemps</t>
    </r>
  </si>
  <si>
    <r>
      <rPr>
        <b/>
        <sz val="9"/>
        <rFont val="Marianne"/>
        <family val="3"/>
      </rPr>
      <t xml:space="preserve"> B</t>
    </r>
    <r>
      <rPr>
        <sz val="9"/>
        <rFont val="Marianne"/>
        <family val="3"/>
      </rPr>
      <t>lé dur d'hiver</t>
    </r>
  </si>
  <si>
    <r>
      <rPr>
        <b/>
        <sz val="9"/>
        <rFont val="Marianne"/>
        <family val="3"/>
      </rPr>
      <t xml:space="preserve"> B</t>
    </r>
    <r>
      <rPr>
        <sz val="9"/>
        <rFont val="Marianne"/>
        <family val="3"/>
      </rPr>
      <t>lé dur de printemps</t>
    </r>
  </si>
  <si>
    <r>
      <rPr>
        <sz val="9"/>
        <rFont val="Marianne"/>
        <family val="3"/>
      </rPr>
      <t xml:space="preserve"> </t>
    </r>
    <r>
      <rPr>
        <b/>
        <sz val="9"/>
        <rFont val="Marianne"/>
        <family val="3"/>
      </rPr>
      <t>A</t>
    </r>
    <r>
      <rPr>
        <sz val="9"/>
        <rFont val="Marianne"/>
        <family val="3"/>
      </rPr>
      <t>voine d'hiver</t>
    </r>
  </si>
  <si>
    <r>
      <t>R</t>
    </r>
    <r>
      <rPr>
        <sz val="9"/>
        <color rgb="FF000000"/>
        <rFont val="Marianne"/>
        <family val="3"/>
      </rPr>
      <t>iz</t>
    </r>
  </si>
  <si>
    <t>Sommaire</t>
  </si>
  <si>
    <t>Retour Sommaire</t>
  </si>
  <si>
    <t>Evol/moyenne quinquennale</t>
  </si>
  <si>
    <t>Evol/moyenne décennale</t>
  </si>
  <si>
    <t>Moyen quinquennal</t>
  </si>
  <si>
    <t>Moyen décennal</t>
  </si>
  <si>
    <t>(1) : SAA 2024</t>
  </si>
  <si>
    <t>2024 (1)</t>
  </si>
  <si>
    <t>RENDEMENT</t>
  </si>
  <si>
    <t>Total Oléagineux</t>
  </si>
  <si>
    <t>Total Céréales (hors riz)</t>
  </si>
  <si>
    <t>rendement non disponible à ce stade</t>
  </si>
  <si>
    <t>rendement/surface non disponible à ce stade</t>
  </si>
  <si>
    <t>surface non disponible à ce stade</t>
  </si>
  <si>
    <t>SURFACE</t>
  </si>
  <si>
    <r>
      <rPr>
        <sz val="9"/>
        <rFont val="Marianne"/>
        <family val="3"/>
      </rPr>
      <t xml:space="preserve"> </t>
    </r>
    <r>
      <rPr>
        <b/>
        <sz val="9"/>
        <rFont val="Marianne"/>
        <family val="3"/>
      </rPr>
      <t>A</t>
    </r>
    <r>
      <rPr>
        <sz val="9"/>
        <rFont val="Marianne"/>
        <family val="3"/>
      </rPr>
      <t>voine de printemps</t>
    </r>
  </si>
  <si>
    <r>
      <t xml:space="preserve"> B</t>
    </r>
    <r>
      <rPr>
        <sz val="9"/>
        <rFont val="Marianne"/>
        <family val="3"/>
      </rPr>
      <t xml:space="preserve">lé dur </t>
    </r>
  </si>
  <si>
    <r>
      <rPr>
        <sz val="9"/>
        <rFont val="Marianne"/>
        <family val="3"/>
      </rPr>
      <t xml:space="preserve"> </t>
    </r>
    <r>
      <rPr>
        <b/>
        <sz val="9"/>
        <rFont val="Marianne"/>
        <family val="3"/>
      </rPr>
      <t>B</t>
    </r>
    <r>
      <rPr>
        <sz val="9"/>
        <rFont val="Marianne"/>
        <family val="3"/>
      </rPr>
      <t>lé tendre et épeautre</t>
    </r>
  </si>
  <si>
    <t>Estimation 2025</t>
  </si>
  <si>
    <t>rendement</t>
  </si>
  <si>
    <t xml:space="preserve">rendement </t>
  </si>
  <si>
    <t xml:space="preserve">surface </t>
  </si>
  <si>
    <t>surface</t>
  </si>
  <si>
    <t xml:space="preserve">(4) : Évolutions des surfaces et rendements (respectivement  en % et en Qx/ha) calculés par comparaison aux estimations moyennes des 10 dernières campagnes - Agreste  - SAA </t>
  </si>
  <si>
    <t>Total COP (hors maïs fourrage, autres céréales, mélanges et légumes secs)</t>
  </si>
  <si>
    <r>
      <t xml:space="preserve"> C</t>
    </r>
    <r>
      <rPr>
        <sz val="9"/>
        <rFont val="Marianne"/>
        <family val="3"/>
      </rPr>
      <t>olza (et navette) hiver</t>
    </r>
  </si>
  <si>
    <t xml:space="preserve">Pour plus de détail, consultez l'information rapide nationale de conjoncture sous agreste </t>
  </si>
  <si>
    <t>Moyenne 2020-2024 Occitanie quinquennale</t>
  </si>
  <si>
    <t>Moyenne 2015-2024 Occitanie décennale</t>
  </si>
  <si>
    <t>Ecart par rapport à la moyenne quinquennale (3)</t>
  </si>
  <si>
    <t>Ecart par rapport à la moyenne décennale (4)</t>
  </si>
  <si>
    <t>Ecart/moyenne quinquennale</t>
  </si>
  <si>
    <t>Ecart/moyenne décennale</t>
  </si>
  <si>
    <t>Calendrier des estimations précoces de production</t>
  </si>
  <si>
    <t>Estimations des surfaces et rendements campagne 2024/2025</t>
  </si>
  <si>
    <t>Estimations des surfaces campagne 2024/2025</t>
  </si>
  <si>
    <t>Estimations des rendements campagne 2024/2025</t>
  </si>
  <si>
    <t>Cotations des céréales</t>
  </si>
  <si>
    <t>Cotations  des oléoproteagineux</t>
  </si>
  <si>
    <r>
      <t xml:space="preserve">Grandes cultures : estimations des surfaces et rendements au </t>
    </r>
    <r>
      <rPr>
        <b/>
        <u/>
        <sz val="11"/>
        <color rgb="FF000000"/>
        <rFont val="Marianne"/>
        <family val="3"/>
      </rPr>
      <t>1er juillet 2025</t>
    </r>
  </si>
  <si>
    <r>
      <t xml:space="preserve">Grandes cultures : estimations des surfaces au </t>
    </r>
    <r>
      <rPr>
        <b/>
        <u/>
        <sz val="11"/>
        <color rgb="FF000000"/>
        <rFont val="Marianne"/>
        <family val="3"/>
      </rPr>
      <t xml:space="preserve">1er juillet 2025 </t>
    </r>
  </si>
  <si>
    <r>
      <t xml:space="preserve">Grandes cultures : estimations des surfaces au </t>
    </r>
    <r>
      <rPr>
        <b/>
        <u/>
        <sz val="11"/>
        <color rgb="FF000000"/>
        <rFont val="Marianne"/>
        <family val="3"/>
      </rPr>
      <t>1er juillet 2025</t>
    </r>
  </si>
  <si>
    <t>Agreste - SAA semi-définitive</t>
  </si>
  <si>
    <t>Evolution par rapport à la campagne précédente (2)</t>
  </si>
  <si>
    <t>(5) : SAA 2024 provisoire</t>
  </si>
  <si>
    <r>
      <t>M</t>
    </r>
    <r>
      <rPr>
        <sz val="9"/>
        <rFont val="Marianne"/>
        <family val="3"/>
      </rPr>
      <t>aïs Grain irrigué</t>
    </r>
  </si>
  <si>
    <r>
      <rPr>
        <sz val="9"/>
        <rFont val="Marianne"/>
        <family val="3"/>
      </rPr>
      <t xml:space="preserve"> </t>
    </r>
    <r>
      <rPr>
        <b/>
        <sz val="9"/>
        <rFont val="Marianne"/>
        <family val="3"/>
      </rPr>
      <t>M</t>
    </r>
    <r>
      <rPr>
        <sz val="9"/>
        <rFont val="Marianne"/>
        <family val="3"/>
      </rPr>
      <t>aïs grain total</t>
    </r>
  </si>
  <si>
    <t>Maïs Grain irrigué</t>
  </si>
  <si>
    <t xml:space="preserve"> Maïs grain en sec</t>
  </si>
  <si>
    <t xml:space="preserve"> Maïs grain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</si>
</sst>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 _€_-;\-* #,##0.00\ _€_-;_-* &quot;-&quot;??\ _€_-;_-@_-"/>
    <numFmt numFmtId="164" formatCode="0&quot;  &quot;"/>
    <numFmt numFmtId="165" formatCode="0.0"/>
    <numFmt numFmtId="166" formatCode="#.0"/>
    <numFmt numFmtId="167" formatCode="yyyy"/>
    <numFmt numFmtId="168" formatCode="#,##0\ "/>
    <numFmt numFmtId="169" formatCode="* #,##0\ ;* \(#,##0\);* &quot;- &quot;;@\ "/>
    <numFmt numFmtId="170" formatCode="#,##0.00\ [$€-40C];[Red]\-#,##0.00\ [$€-40C]"/>
    <numFmt numFmtId="171" formatCode="_-* #,##0\ _€_-;\-* #,##0\ _€_-;_-* &quot;-&quot;??\ _€_-;_-@_-"/>
    <numFmt numFmtId="172" formatCode="mm/dd/yyyy\ hh:mm:ss"/>
  </numFmts>
  <fonts count="87">
    <font>
      <sz val="10"/>
      <color rgb="FF000000"/>
      <name val="Arial"/>
    </font>
    <font>
      <sz val="11"/>
      <color rgb="FFCC0000"/>
      <name val="Arial"/>
      <family val="2"/>
    </font>
    <font>
      <b/>
      <sz val="12"/>
      <color rgb="FF000000"/>
      <name val="Marianne"/>
      <family val="3"/>
    </font>
    <font>
      <sz val="11"/>
      <color rgb="FF000000"/>
      <name val="Marianne"/>
      <family val="3"/>
    </font>
    <font>
      <sz val="9"/>
      <color rgb="FF000000"/>
      <name val="Marianne"/>
      <family val="3"/>
    </font>
    <font>
      <b/>
      <sz val="11"/>
      <color rgb="FF000000"/>
      <name val="Marianne"/>
      <family val="3"/>
    </font>
    <font>
      <i/>
      <sz val="11"/>
      <color rgb="FF000000"/>
      <name val="Marianne"/>
      <family val="3"/>
    </font>
    <font>
      <sz val="10"/>
      <color rgb="FF000000"/>
      <name val="Arial1"/>
    </font>
    <font>
      <b/>
      <sz val="10"/>
      <color rgb="FF000000"/>
      <name val="Arial1"/>
    </font>
    <font>
      <sz val="9"/>
      <color rgb="FF000000"/>
      <name val="Arial1"/>
    </font>
    <font>
      <i/>
      <sz val="9"/>
      <color rgb="FF000000"/>
      <name val="Arial1"/>
    </font>
    <font>
      <i/>
      <sz val="9"/>
      <color rgb="FF3366FF"/>
      <name val="Arial1"/>
    </font>
    <font>
      <i/>
      <sz val="9"/>
      <color rgb="FF0000FF"/>
      <name val="Arial1"/>
    </font>
    <font>
      <sz val="10"/>
      <name val="Arial"/>
      <family val="2"/>
    </font>
    <font>
      <sz val="12"/>
      <name val="Arial"/>
      <family val="2"/>
    </font>
    <font>
      <sz val="8"/>
      <name val="Arial"/>
      <family val="2"/>
    </font>
    <font>
      <sz val="10"/>
      <color theme="1"/>
      <name val="Arial"/>
      <family val="2"/>
    </font>
    <font>
      <b/>
      <sz val="10"/>
      <name val="Arial"/>
      <family val="2"/>
    </font>
    <font>
      <sz val="11"/>
      <color indexed="48"/>
      <name val="Arial"/>
      <family val="2"/>
    </font>
    <font>
      <sz val="11"/>
      <color indexed="30"/>
      <name val="Arial"/>
      <family val="2"/>
    </font>
    <font>
      <b/>
      <sz val="9"/>
      <name val="Arial"/>
      <family val="2"/>
    </font>
    <font>
      <sz val="8"/>
      <color theme="1"/>
      <name val="Arial"/>
      <family val="2"/>
    </font>
    <font>
      <sz val="7.5"/>
      <color theme="1"/>
      <name val="Marianne"/>
      <family val="3"/>
    </font>
    <font>
      <sz val="11"/>
      <color theme="1"/>
      <name val="Arial"/>
      <family val="2"/>
    </font>
    <font>
      <b/>
      <sz val="9"/>
      <color theme="1"/>
      <name val="Arial"/>
      <family val="2"/>
    </font>
    <font>
      <sz val="10"/>
      <name val="Calibri Light"/>
      <family val="2"/>
    </font>
    <font>
      <sz val="8"/>
      <name val="Calibri Light"/>
      <family val="2"/>
    </font>
    <font>
      <b/>
      <sz val="8"/>
      <name val="Arial"/>
      <family val="2"/>
    </font>
    <font>
      <b/>
      <sz val="7"/>
      <name val="Arial"/>
      <family val="2"/>
    </font>
    <font>
      <sz val="8"/>
      <color indexed="9"/>
      <name val="Arial"/>
      <family val="2"/>
    </font>
    <font>
      <sz val="8"/>
      <color indexed="10"/>
      <name val="Arial"/>
      <family val="2"/>
    </font>
    <font>
      <sz val="10"/>
      <color rgb="FF000000"/>
      <name val="Arial"/>
      <family val="2"/>
    </font>
    <font>
      <sz val="11"/>
      <color indexed="8"/>
      <name val="Calibri"/>
      <family val="2"/>
    </font>
    <font>
      <sz val="11"/>
      <color indexed="9"/>
      <name val="Calibri"/>
      <family val="2"/>
    </font>
    <font>
      <b/>
      <sz val="11"/>
      <color indexed="52"/>
      <name val="Calibri"/>
      <family val="2"/>
    </font>
    <font>
      <sz val="11"/>
      <color indexed="62"/>
      <name val="Calibri"/>
      <family val="2"/>
    </font>
    <font>
      <sz val="9"/>
      <color indexed="18"/>
      <name val="Arial"/>
      <family val="2"/>
    </font>
    <font>
      <u/>
      <sz val="10"/>
      <name val="Arial"/>
      <family val="2"/>
    </font>
    <font>
      <b/>
      <sz val="11"/>
      <color indexed="63"/>
      <name val="Calibri"/>
      <family val="2"/>
    </font>
    <font>
      <b/>
      <sz val="18"/>
      <color indexed="56"/>
      <name val="Cambria"/>
      <family val="2"/>
    </font>
    <font>
      <b/>
      <sz val="18"/>
      <color indexed="62"/>
      <name val="Cambria"/>
      <family val="2"/>
    </font>
    <font>
      <u/>
      <sz val="10"/>
      <color indexed="30"/>
      <name val="Arial"/>
      <family val="2"/>
    </font>
    <font>
      <b/>
      <sz val="11"/>
      <name val="Arial"/>
      <family val="2"/>
    </font>
    <font>
      <i/>
      <sz val="10"/>
      <name val="Arial"/>
      <family val="2"/>
    </font>
    <font>
      <sz val="10"/>
      <color indexed="10"/>
      <name val="Arial"/>
      <family val="2"/>
    </font>
    <font>
      <sz val="10"/>
      <color rgb="FF000000"/>
      <name val="Arial"/>
      <family val="2"/>
    </font>
    <font>
      <sz val="11"/>
      <name val="Marianne"/>
      <family val="3"/>
    </font>
    <font>
      <u/>
      <sz val="10"/>
      <color theme="10"/>
      <name val="Arial"/>
      <family val="2"/>
    </font>
    <font>
      <sz val="12"/>
      <name val="Marianne"/>
      <family val="3"/>
    </font>
    <font>
      <sz val="8"/>
      <name val="Marianne"/>
      <family val="3"/>
    </font>
    <font>
      <sz val="8"/>
      <color theme="1"/>
      <name val="Marianne"/>
      <family val="3"/>
    </font>
    <font>
      <sz val="10"/>
      <color theme="1"/>
      <name val="Marianne"/>
      <family val="3"/>
    </font>
    <font>
      <b/>
      <sz val="11"/>
      <color theme="1"/>
      <name val="Marianne"/>
      <family val="3"/>
    </font>
    <font>
      <sz val="10"/>
      <name val="Marianne"/>
      <family val="3"/>
    </font>
    <font>
      <b/>
      <sz val="8"/>
      <color theme="1"/>
      <name val="Marianne"/>
      <family val="3"/>
    </font>
    <font>
      <sz val="12"/>
      <color theme="1"/>
      <name val="Marianne"/>
      <family val="3"/>
    </font>
    <font>
      <sz val="10"/>
      <color rgb="FF000000"/>
      <name val="Marianne"/>
      <family val="3"/>
    </font>
    <font>
      <b/>
      <sz val="10"/>
      <color rgb="FF000000"/>
      <name val="Marianne"/>
      <family val="3"/>
    </font>
    <font>
      <b/>
      <sz val="9"/>
      <color rgb="FF000000"/>
      <name val="Marianne"/>
      <family val="3"/>
    </font>
    <font>
      <b/>
      <sz val="9"/>
      <name val="Marianne"/>
      <family val="3"/>
    </font>
    <font>
      <sz val="9"/>
      <name val="Marianne"/>
      <family val="3"/>
    </font>
    <font>
      <b/>
      <sz val="9"/>
      <color rgb="FFFFFFFF"/>
      <name val="Marianne"/>
      <family val="3"/>
    </font>
    <font>
      <b/>
      <sz val="9"/>
      <color rgb="FF0000FF"/>
      <name val="Marianne"/>
      <family val="3"/>
    </font>
    <font>
      <i/>
      <sz val="9"/>
      <color rgb="FF000000"/>
      <name val="Marianne"/>
      <family val="3"/>
    </font>
    <font>
      <i/>
      <sz val="9"/>
      <color rgb="FF3366FF"/>
      <name val="Marianne"/>
      <family val="3"/>
    </font>
    <font>
      <b/>
      <i/>
      <sz val="9"/>
      <color rgb="FF0000FF"/>
      <name val="Marianne"/>
      <family val="3"/>
    </font>
    <font>
      <i/>
      <sz val="9"/>
      <color rgb="FF0000FF"/>
      <name val="Marianne"/>
      <family val="3"/>
    </font>
    <font>
      <b/>
      <sz val="10"/>
      <name val="Marianne"/>
      <family val="3"/>
    </font>
    <font>
      <sz val="10"/>
      <color rgb="FF000000"/>
      <name val="Arial"/>
      <family val="2"/>
    </font>
    <font>
      <sz val="10"/>
      <color indexed="39"/>
      <name val="Arial"/>
      <family val="2"/>
    </font>
    <font>
      <b/>
      <i/>
      <sz val="9"/>
      <color rgb="FFFF0000"/>
      <name val="Marianne"/>
      <family val="3"/>
    </font>
    <font>
      <i/>
      <sz val="9"/>
      <color rgb="FFFF0000"/>
      <name val="Marianne"/>
      <family val="3"/>
    </font>
    <font>
      <sz val="9"/>
      <color rgb="FF3366FF"/>
      <name val="Marianne"/>
      <family val="3"/>
    </font>
    <font>
      <b/>
      <i/>
      <sz val="9"/>
      <color rgb="FF0000FF"/>
      <name val="Arial1"/>
    </font>
    <font>
      <u/>
      <sz val="11"/>
      <color rgb="FF000000"/>
      <name val="Marianne"/>
      <family val="3"/>
    </font>
    <font>
      <b/>
      <sz val="11"/>
      <color rgb="FFFF0000"/>
      <name val="Marianne"/>
      <family val="3"/>
    </font>
    <font>
      <b/>
      <u/>
      <sz val="11"/>
      <color rgb="FF000000"/>
      <name val="Marianne"/>
      <family val="3"/>
    </font>
    <font>
      <b/>
      <sz val="15"/>
      <color rgb="FF008080"/>
      <name val="Marianne"/>
      <family val="3"/>
    </font>
    <font>
      <b/>
      <u/>
      <sz val="10"/>
      <color theme="10"/>
      <name val="Marianne"/>
      <family val="3"/>
    </font>
    <font>
      <b/>
      <sz val="10"/>
      <color rgb="FFFF0000"/>
      <name val="Arial"/>
      <family val="2"/>
    </font>
    <font>
      <i/>
      <sz val="9"/>
      <name val="Marianne"/>
      <family val="3"/>
    </font>
    <font>
      <b/>
      <sz val="9"/>
      <color rgb="FF252AFF"/>
      <name val="Marianne"/>
      <family val="3"/>
    </font>
    <font>
      <sz val="9"/>
      <color rgb="FF252AFF"/>
      <name val="Marianne"/>
      <family val="3"/>
    </font>
    <font>
      <b/>
      <i/>
      <sz val="9"/>
      <color rgb="FF252AFF"/>
      <name val="Marianne"/>
      <family val="3"/>
    </font>
    <font>
      <i/>
      <sz val="9"/>
      <color rgb="FF252AFF"/>
      <name val="Marianne"/>
      <family val="3"/>
    </font>
    <font>
      <u/>
      <sz val="11"/>
      <color rgb="FF008080"/>
      <name val="Marianne"/>
      <family val="3"/>
    </font>
    <font>
      <sz val="10"/>
      <color rgb="FF000000"/>
      <name val="Arial"/>
    </font>
  </fonts>
  <fills count="31">
    <fill>
      <patternFill patternType="none"/>
    </fill>
    <fill>
      <patternFill patternType="gray125"/>
    </fill>
    <fill>
      <patternFill patternType="solid">
        <fgColor rgb="FFFFFFFF"/>
        <bgColor rgb="FFFFFFCC"/>
      </patternFill>
    </fill>
    <fill>
      <patternFill patternType="solid">
        <fgColor rgb="FFCCFFCC"/>
        <bgColor rgb="FFCCFFFF"/>
      </patternFill>
    </fill>
    <fill>
      <patternFill patternType="solid">
        <fgColor rgb="FFFFFF99"/>
        <bgColor rgb="FFFFFFCC"/>
      </patternFill>
    </fill>
    <fill>
      <patternFill patternType="solid">
        <fgColor rgb="FF339966"/>
        <bgColor rgb="FF008080"/>
      </patternFill>
    </fill>
    <fill>
      <patternFill patternType="solid">
        <fgColor theme="8" tint="0.79998168889431442"/>
        <bgColor indexed="64"/>
      </patternFill>
    </fill>
    <fill>
      <patternFill patternType="solid">
        <fgColor theme="0"/>
        <bgColor indexed="26"/>
      </patternFill>
    </fill>
    <fill>
      <patternFill patternType="solid">
        <fgColor theme="0"/>
        <bgColor indexed="64"/>
      </patternFill>
    </fill>
    <fill>
      <patternFill patternType="solid">
        <fgColor indexed="31"/>
        <bgColor indexed="22"/>
      </patternFill>
    </fill>
    <fill>
      <patternFill patternType="solid">
        <fgColor indexed="27"/>
        <bgColor indexed="41"/>
      </patternFill>
    </fill>
    <fill>
      <patternFill patternType="solid">
        <fgColor indexed="47"/>
        <bgColor indexed="22"/>
      </patternFill>
    </fill>
    <fill>
      <patternFill patternType="solid">
        <fgColor indexed="51"/>
        <bgColor indexed="13"/>
      </patternFill>
    </fill>
    <fill>
      <patternFill patternType="solid">
        <fgColor indexed="30"/>
        <bgColor indexed="21"/>
      </patternFill>
    </fill>
    <fill>
      <patternFill patternType="solid">
        <fgColor indexed="49"/>
        <bgColor indexed="40"/>
      </patternFill>
    </fill>
    <fill>
      <patternFill patternType="solid">
        <fgColor indexed="52"/>
        <bgColor indexed="45"/>
      </patternFill>
    </fill>
    <fill>
      <patternFill patternType="solid">
        <fgColor indexed="22"/>
        <bgColor indexed="44"/>
      </patternFill>
    </fill>
    <fill>
      <patternFill patternType="solid">
        <fgColor indexed="26"/>
        <bgColor indexed="9"/>
      </patternFill>
    </fill>
    <fill>
      <patternFill patternType="solid">
        <fgColor theme="2"/>
        <bgColor rgb="FFCCFFFF"/>
      </patternFill>
    </fill>
    <fill>
      <patternFill patternType="solid">
        <fgColor theme="2"/>
        <bgColor indexed="64"/>
      </patternFill>
    </fill>
    <fill>
      <patternFill patternType="solid">
        <fgColor theme="7" tint="0.59999389629810485"/>
        <bgColor rgb="FFFFFFCC"/>
      </patternFill>
    </fill>
    <fill>
      <patternFill patternType="solid">
        <fgColor theme="7" tint="0.59999389629810485"/>
        <bgColor indexed="64"/>
      </patternFill>
    </fill>
    <fill>
      <patternFill patternType="solid">
        <fgColor theme="0"/>
        <bgColor rgb="FFFFFFCC"/>
      </patternFill>
    </fill>
    <fill>
      <patternFill patternType="solid">
        <fgColor theme="0"/>
        <bgColor rgb="FFCCFFFF"/>
      </patternFill>
    </fill>
    <fill>
      <patternFill patternType="lightUp">
        <fgColor auto="1"/>
        <bgColor theme="0"/>
      </patternFill>
    </fill>
    <fill>
      <patternFill patternType="lightUp">
        <bgColor theme="2"/>
      </patternFill>
    </fill>
    <fill>
      <patternFill patternType="solid">
        <fgColor theme="4" tint="0.79998168889431442"/>
        <bgColor indexed="64"/>
      </patternFill>
    </fill>
    <fill>
      <patternFill patternType="solid">
        <fgColor theme="4" tint="0.79998168889431442"/>
        <bgColor rgb="FFFFFFCC"/>
      </patternFill>
    </fill>
    <fill>
      <patternFill patternType="solid">
        <fgColor theme="4" tint="0.79998168889431442"/>
        <bgColor rgb="FFCCFFFF"/>
      </patternFill>
    </fill>
    <fill>
      <patternFill patternType="lightUp">
        <fgColor theme="0"/>
        <bgColor theme="0" tint="-0.14996795556505021"/>
      </patternFill>
    </fill>
    <fill>
      <patternFill patternType="solid">
        <fgColor indexed="22"/>
      </patternFill>
    </fill>
  </fills>
  <borders count="156">
    <border>
      <left/>
      <right/>
      <top/>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top/>
      <bottom/>
      <diagonal/>
    </border>
    <border>
      <left style="hair">
        <color auto="1"/>
      </left>
      <right/>
      <top style="hair">
        <color auto="1"/>
      </top>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top/>
      <bottom style="hair">
        <color auto="1"/>
      </bottom>
      <diagonal/>
    </border>
    <border>
      <left style="hair">
        <color auto="1"/>
      </left>
      <right style="hair">
        <color auto="1"/>
      </right>
      <top/>
      <bottom style="hair">
        <color auto="1"/>
      </bottom>
      <diagonal/>
    </border>
    <border>
      <left/>
      <right/>
      <top/>
      <bottom style="thin">
        <color indexed="21"/>
      </bottom>
      <diagonal/>
    </border>
    <border>
      <left style="thick">
        <color theme="4" tint="0.59996337778862885"/>
      </left>
      <right/>
      <top style="thick">
        <color theme="4" tint="0.59996337778862885"/>
      </top>
      <bottom/>
      <diagonal/>
    </border>
    <border>
      <left/>
      <right/>
      <top style="thick">
        <color theme="4" tint="0.59996337778862885"/>
      </top>
      <bottom/>
      <diagonal/>
    </border>
    <border>
      <left/>
      <right style="thick">
        <color theme="4" tint="0.59996337778862885"/>
      </right>
      <top style="thick">
        <color theme="4" tint="0.59996337778862885"/>
      </top>
      <bottom/>
      <diagonal/>
    </border>
    <border>
      <left style="thick">
        <color theme="4" tint="0.59996337778862885"/>
      </left>
      <right style="thick">
        <color theme="4" tint="0.59996337778862885"/>
      </right>
      <top style="thick">
        <color theme="4" tint="0.59996337778862885"/>
      </top>
      <bottom/>
      <diagonal/>
    </border>
    <border>
      <left style="thick">
        <color theme="4" tint="0.59996337778862885"/>
      </left>
      <right style="thick">
        <color theme="4" tint="0.59996337778862885"/>
      </right>
      <top/>
      <bottom/>
      <diagonal/>
    </border>
    <border>
      <left style="thick">
        <color theme="4" tint="0.59996337778862885"/>
      </left>
      <right style="thick">
        <color theme="4" tint="0.59996337778862885"/>
      </right>
      <top/>
      <bottom style="thick">
        <color theme="4" tint="0.59996337778862885"/>
      </bottom>
      <diagonal/>
    </border>
    <border>
      <left style="thin">
        <color indexed="17"/>
      </left>
      <right style="hair">
        <color indexed="17"/>
      </right>
      <top style="thin">
        <color indexed="17"/>
      </top>
      <bottom style="thin">
        <color indexed="17"/>
      </bottom>
      <diagonal/>
    </border>
    <border>
      <left style="hair">
        <color indexed="17"/>
      </left>
      <right style="hair">
        <color indexed="17"/>
      </right>
      <top style="thin">
        <color indexed="17"/>
      </top>
      <bottom style="thin">
        <color indexed="17"/>
      </bottom>
      <diagonal/>
    </border>
    <border>
      <left style="hair">
        <color indexed="17"/>
      </left>
      <right/>
      <top/>
      <bottom/>
      <diagonal/>
    </border>
    <border>
      <left style="thin">
        <color indexed="17"/>
      </left>
      <right style="thin">
        <color indexed="17"/>
      </right>
      <top/>
      <bottom/>
      <diagonal/>
    </border>
    <border>
      <left style="hair">
        <color indexed="17"/>
      </left>
      <right style="hair">
        <color indexed="17"/>
      </right>
      <top/>
      <bottom/>
      <diagonal/>
    </border>
    <border>
      <left style="thin">
        <color indexed="17"/>
      </left>
      <right style="hair">
        <color indexed="17"/>
      </right>
      <top/>
      <bottom/>
      <diagonal/>
    </border>
    <border>
      <left style="thin">
        <color indexed="17"/>
      </left>
      <right style="thin">
        <color indexed="17"/>
      </right>
      <top/>
      <bottom style="thin">
        <color indexed="17"/>
      </bottom>
      <diagonal/>
    </border>
    <border>
      <left style="hair">
        <color indexed="17"/>
      </left>
      <right style="hair">
        <color indexed="17"/>
      </right>
      <top/>
      <bottom style="thin">
        <color indexed="17"/>
      </bottom>
      <diagonal/>
    </border>
    <border>
      <left style="thin">
        <color indexed="17"/>
      </left>
      <right style="hair">
        <color indexed="17"/>
      </right>
      <top/>
      <bottom style="thin">
        <color indexed="17"/>
      </bottom>
      <diagonal/>
    </border>
    <border>
      <left style="thin">
        <color indexed="17"/>
      </left>
      <right style="hair">
        <color indexed="17"/>
      </right>
      <top style="thin">
        <color indexed="17"/>
      </top>
      <bottom/>
      <diagonal/>
    </border>
    <border>
      <left style="hair">
        <color indexed="17"/>
      </left>
      <right style="hair">
        <color indexed="17"/>
      </right>
      <top style="thin">
        <color indexed="17"/>
      </top>
      <bottom/>
      <diagonal/>
    </border>
    <border>
      <left/>
      <right/>
      <top style="thin">
        <color indexed="17"/>
      </top>
      <bottom style="thin">
        <color indexed="17"/>
      </bottom>
      <diagonal/>
    </border>
    <border>
      <left style="hair">
        <color indexed="17"/>
      </left>
      <right/>
      <top style="thin">
        <color indexed="17"/>
      </top>
      <bottom style="thin">
        <color indexed="17"/>
      </bottom>
      <diagonal/>
    </border>
    <border>
      <left style="thick">
        <color theme="4" tint="0.39994506668294322"/>
      </left>
      <right/>
      <top style="thick">
        <color theme="4" tint="0.39994506668294322"/>
      </top>
      <bottom/>
      <diagonal/>
    </border>
    <border>
      <left/>
      <right/>
      <top style="thick">
        <color theme="4" tint="0.39994506668294322"/>
      </top>
      <bottom/>
      <diagonal/>
    </border>
    <border>
      <left/>
      <right style="thick">
        <color theme="4" tint="0.39994506668294322"/>
      </right>
      <top style="thick">
        <color theme="4" tint="0.39994506668294322"/>
      </top>
      <bottom/>
      <diagonal/>
    </border>
    <border>
      <left style="thick">
        <color theme="4" tint="0.39994506668294322"/>
      </left>
      <right style="thick">
        <color theme="4" tint="0.39994506668294322"/>
      </right>
      <top style="thick">
        <color theme="4" tint="0.39994506668294322"/>
      </top>
      <bottom/>
      <diagonal/>
    </border>
    <border>
      <left style="thick">
        <color theme="4" tint="0.39994506668294322"/>
      </left>
      <right style="thick">
        <color theme="4" tint="0.39994506668294322"/>
      </right>
      <top/>
      <bottom/>
      <diagonal/>
    </border>
    <border>
      <left style="thick">
        <color theme="4" tint="0.39994506668294322"/>
      </left>
      <right style="thick">
        <color theme="4" tint="0.39994506668294322"/>
      </right>
      <top/>
      <bottom style="thick">
        <color theme="4" tint="0.39994506668294322"/>
      </bottom>
      <diagonal/>
    </border>
    <border>
      <left style="hair">
        <color indexed="23"/>
      </left>
      <right style="hair">
        <color indexed="23"/>
      </right>
      <top style="hair">
        <color indexed="23"/>
      </top>
      <bottom style="hair">
        <color indexed="23"/>
      </bottom>
      <diagonal/>
    </border>
    <border>
      <left style="hair">
        <color indexed="22"/>
      </left>
      <right style="hair">
        <color indexed="22"/>
      </right>
      <top style="hair">
        <color indexed="22"/>
      </top>
      <bottom style="hair">
        <color indexed="22"/>
      </bottom>
      <diagonal/>
    </border>
    <border>
      <left style="hair">
        <color indexed="63"/>
      </left>
      <right style="hair">
        <color indexed="63"/>
      </right>
      <top style="hair">
        <color indexed="63"/>
      </top>
      <bottom style="hair">
        <color indexed="63"/>
      </bottom>
      <diagonal/>
    </border>
    <border>
      <left style="thin">
        <color indexed="17"/>
      </left>
      <right/>
      <top style="thin">
        <color indexed="17"/>
      </top>
      <bottom style="thin">
        <color indexed="17"/>
      </bottom>
      <diagonal/>
    </border>
    <border>
      <left style="thin">
        <color indexed="17"/>
      </left>
      <right/>
      <top/>
      <bottom/>
      <diagonal/>
    </border>
    <border>
      <left style="thin">
        <color indexed="17"/>
      </left>
      <right/>
      <top/>
      <bottom style="thin">
        <color indexed="17"/>
      </bottom>
      <diagonal/>
    </border>
    <border>
      <left/>
      <right style="hair">
        <color indexed="17"/>
      </right>
      <top style="thin">
        <color indexed="17"/>
      </top>
      <bottom style="thin">
        <color indexed="17"/>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17"/>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17"/>
      </left>
      <right/>
      <top style="thin">
        <color indexed="17"/>
      </top>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thin">
        <color indexed="17"/>
      </bottom>
      <diagonal/>
    </border>
    <border>
      <left style="medium">
        <color indexed="64"/>
      </left>
      <right style="medium">
        <color indexed="64"/>
      </right>
      <top style="thin">
        <color indexed="17"/>
      </top>
      <bottom/>
      <diagonal/>
    </border>
    <border>
      <left style="medium">
        <color indexed="64"/>
      </left>
      <right style="medium">
        <color indexed="64"/>
      </right>
      <top style="thin">
        <color indexed="17"/>
      </top>
      <bottom style="thin">
        <color indexed="17"/>
      </bottom>
      <diagonal/>
    </border>
    <border>
      <left style="medium">
        <color indexed="64"/>
      </left>
      <right style="medium">
        <color indexed="64"/>
      </right>
      <top style="thin">
        <color indexed="17"/>
      </top>
      <bottom style="medium">
        <color indexed="64"/>
      </bottom>
      <diagonal/>
    </border>
    <border>
      <left style="thin">
        <color indexed="17"/>
      </left>
      <right style="thin">
        <color indexed="64"/>
      </right>
      <top style="thin">
        <color indexed="17"/>
      </top>
      <bottom/>
      <diagonal/>
    </border>
    <border>
      <left style="thin">
        <color indexed="17"/>
      </left>
      <right style="thin">
        <color indexed="64"/>
      </right>
      <top/>
      <bottom style="thin">
        <color indexed="17"/>
      </bottom>
      <diagonal/>
    </border>
    <border>
      <left style="thin">
        <color indexed="64"/>
      </left>
      <right/>
      <top/>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hair">
        <color indexed="64"/>
      </left>
      <right/>
      <top/>
      <bottom style="dotted">
        <color indexed="64"/>
      </bottom>
      <diagonal/>
    </border>
    <border>
      <left/>
      <right style="hair">
        <color indexed="64"/>
      </right>
      <top/>
      <bottom style="dotted">
        <color indexed="64"/>
      </bottom>
      <diagonal/>
    </border>
    <border>
      <left/>
      <right style="hair">
        <color auto="1"/>
      </right>
      <top style="dotted">
        <color indexed="64"/>
      </top>
      <bottom style="mediumDashed">
        <color indexed="64"/>
      </bottom>
      <diagonal/>
    </border>
    <border>
      <left style="medium">
        <color auto="1"/>
      </left>
      <right style="medium">
        <color auto="1"/>
      </right>
      <top style="medium">
        <color auto="1"/>
      </top>
      <bottom style="medium">
        <color auto="1"/>
      </bottom>
      <diagonal/>
    </border>
    <border>
      <left style="hair">
        <color indexed="64"/>
      </left>
      <right style="hair">
        <color indexed="64"/>
      </right>
      <top/>
      <bottom style="dotted">
        <color indexed="64"/>
      </bottom>
      <diagonal/>
    </border>
    <border>
      <left style="medium">
        <color auto="1"/>
      </left>
      <right/>
      <top style="medium">
        <color auto="1"/>
      </top>
      <bottom style="medium">
        <color auto="1"/>
      </bottom>
      <diagonal/>
    </border>
    <border>
      <left style="hair">
        <color indexed="64"/>
      </left>
      <right/>
      <top style="medium">
        <color auto="1"/>
      </top>
      <bottom style="medium">
        <color auto="1"/>
      </bottom>
      <diagonal/>
    </border>
    <border>
      <left/>
      <right/>
      <top style="medium">
        <color auto="1"/>
      </top>
      <bottom style="medium">
        <color auto="1"/>
      </bottom>
      <diagonal/>
    </border>
    <border>
      <left style="hair">
        <color indexed="64"/>
      </left>
      <right style="medium">
        <color auto="1"/>
      </right>
      <top style="medium">
        <color auto="1"/>
      </top>
      <bottom style="medium">
        <color auto="1"/>
      </bottom>
      <diagonal/>
    </border>
    <border>
      <left style="hair">
        <color auto="1"/>
      </left>
      <right/>
      <top style="dotted">
        <color indexed="64"/>
      </top>
      <bottom/>
      <diagonal/>
    </border>
    <border>
      <left style="medium">
        <color auto="1"/>
      </left>
      <right style="hair">
        <color indexed="64"/>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hair">
        <color indexed="64"/>
      </right>
      <top/>
      <bottom style="dotted">
        <color indexed="64"/>
      </bottom>
      <diagonal/>
    </border>
    <border>
      <left style="hair">
        <color indexed="64"/>
      </left>
      <right style="medium">
        <color indexed="64"/>
      </right>
      <top/>
      <bottom style="dotted">
        <color indexed="64"/>
      </bottom>
      <diagonal/>
    </border>
    <border>
      <left style="hair">
        <color indexed="64"/>
      </left>
      <right style="medium">
        <color indexed="64"/>
      </right>
      <top style="dotted">
        <color indexed="64"/>
      </top>
      <bottom style="mediumDashed">
        <color indexed="64"/>
      </bottom>
      <diagonal/>
    </border>
    <border>
      <left style="medium">
        <color indexed="64"/>
      </left>
      <right style="hair">
        <color indexed="64"/>
      </right>
      <top style="dotted">
        <color indexed="64"/>
      </top>
      <bottom/>
      <diagonal/>
    </border>
    <border>
      <left style="medium">
        <color indexed="64"/>
      </left>
      <right style="hair">
        <color indexed="64"/>
      </right>
      <top style="dotted">
        <color indexed="64"/>
      </top>
      <bottom style="medium">
        <color indexed="64"/>
      </bottom>
      <diagonal/>
    </border>
    <border>
      <left style="hair">
        <color auto="1"/>
      </left>
      <right/>
      <top style="dotted">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style="dotted">
        <color indexed="64"/>
      </right>
      <top style="medium">
        <color auto="1"/>
      </top>
      <bottom style="medium">
        <color auto="1"/>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mediumDashed">
        <color indexed="64"/>
      </bottom>
      <diagonal/>
    </border>
    <border>
      <left style="dotted">
        <color indexed="64"/>
      </left>
      <right style="dotted">
        <color indexed="64"/>
      </right>
      <top style="dotted">
        <color indexed="64"/>
      </top>
      <bottom/>
      <diagonal/>
    </border>
    <border>
      <left style="dotted">
        <color indexed="64"/>
      </left>
      <right style="dotted">
        <color indexed="64"/>
      </right>
      <top style="medium">
        <color auto="1"/>
      </top>
      <bottom style="dotted">
        <color indexed="64"/>
      </bottom>
      <diagonal/>
    </border>
    <border>
      <left/>
      <right style="dotted">
        <color indexed="64"/>
      </right>
      <top style="medium">
        <color auto="1"/>
      </top>
      <bottom style="medium">
        <color auto="1"/>
      </bottom>
      <diagonal/>
    </border>
    <border>
      <left style="medium">
        <color indexed="64"/>
      </left>
      <right style="dotted">
        <color indexed="64"/>
      </right>
      <top style="medium">
        <color indexed="64"/>
      </top>
      <bottom style="medium">
        <color auto="1"/>
      </bottom>
      <diagonal/>
    </border>
    <border>
      <left style="dotted">
        <color indexed="64"/>
      </left>
      <right style="medium">
        <color indexed="64"/>
      </right>
      <top style="medium">
        <color indexed="64"/>
      </top>
      <bottom style="medium">
        <color auto="1"/>
      </bottom>
      <diagonal/>
    </border>
    <border>
      <left style="medium">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style="dotted">
        <color indexed="64"/>
      </top>
      <bottom style="mediumDashed">
        <color indexed="64"/>
      </bottom>
      <diagonal/>
    </border>
    <border>
      <left style="dotted">
        <color indexed="64"/>
      </left>
      <right style="medium">
        <color indexed="64"/>
      </right>
      <top style="dotted">
        <color indexed="64"/>
      </top>
      <bottom style="mediumDashed">
        <color indexed="64"/>
      </bottom>
      <diagonal/>
    </border>
    <border>
      <left style="medium">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indexed="64"/>
      </left>
      <right style="dotted">
        <color indexed="64"/>
      </right>
      <top style="medium">
        <color auto="1"/>
      </top>
      <bottom style="dotted">
        <color indexed="64"/>
      </bottom>
      <diagonal/>
    </border>
    <border>
      <left style="dotted">
        <color indexed="64"/>
      </left>
      <right style="medium">
        <color indexed="64"/>
      </right>
      <top style="medium">
        <color auto="1"/>
      </top>
      <bottom style="dotted">
        <color indexed="64"/>
      </bottom>
      <diagonal/>
    </border>
    <border>
      <left style="medium">
        <color indexed="64"/>
      </left>
      <right style="dotted">
        <color indexed="64"/>
      </right>
      <top style="dotted">
        <color indexed="64"/>
      </top>
      <bottom style="medium">
        <color indexed="64"/>
      </bottom>
      <diagonal/>
    </border>
    <border>
      <left style="hair">
        <color indexed="64"/>
      </left>
      <right/>
      <top style="medium">
        <color indexed="64"/>
      </top>
      <bottom/>
      <diagonal/>
    </border>
    <border>
      <left/>
      <right style="hair">
        <color indexed="64"/>
      </right>
      <top style="medium">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hair">
        <color indexed="64"/>
      </right>
      <top style="mediumDashDot">
        <color indexed="64"/>
      </top>
      <bottom style="dotted">
        <color indexed="64"/>
      </bottom>
      <diagonal/>
    </border>
    <border>
      <left style="hair">
        <color indexed="64"/>
      </left>
      <right/>
      <top style="mediumDashDot">
        <color indexed="64"/>
      </top>
      <bottom style="dotted">
        <color indexed="64"/>
      </bottom>
      <diagonal/>
    </border>
    <border>
      <left style="medium">
        <color indexed="64"/>
      </left>
      <right style="dotted">
        <color indexed="64"/>
      </right>
      <top style="mediumDashDot">
        <color indexed="64"/>
      </top>
      <bottom style="dotted">
        <color indexed="64"/>
      </bottom>
      <diagonal/>
    </border>
    <border>
      <left style="dotted">
        <color indexed="64"/>
      </left>
      <right style="dotted">
        <color indexed="64"/>
      </right>
      <top style="mediumDashDot">
        <color indexed="64"/>
      </top>
      <bottom style="dotted">
        <color indexed="64"/>
      </bottom>
      <diagonal/>
    </border>
    <border>
      <left style="dotted">
        <color indexed="64"/>
      </left>
      <right style="medium">
        <color indexed="64"/>
      </right>
      <top style="mediumDashDot">
        <color indexed="64"/>
      </top>
      <bottom style="dotted">
        <color indexed="64"/>
      </bottom>
      <diagonal/>
    </border>
    <border>
      <left/>
      <right style="hair">
        <color indexed="64"/>
      </right>
      <top style="mediumDashDot">
        <color indexed="64"/>
      </top>
      <bottom style="dotted">
        <color indexed="64"/>
      </bottom>
      <diagonal/>
    </border>
    <border>
      <left style="hair">
        <color indexed="64"/>
      </left>
      <right style="hair">
        <color indexed="64"/>
      </right>
      <top style="mediumDashDot">
        <color indexed="64"/>
      </top>
      <bottom style="dotted">
        <color indexed="64"/>
      </bottom>
      <diagonal/>
    </border>
    <border>
      <left style="hair">
        <color indexed="64"/>
      </left>
      <right style="medium">
        <color indexed="64"/>
      </right>
      <top style="mediumDashDot">
        <color indexed="64"/>
      </top>
      <bottom style="dotted">
        <color indexed="64"/>
      </bottom>
      <diagonal/>
    </border>
    <border>
      <left style="medium">
        <color indexed="64"/>
      </left>
      <right style="hair">
        <color indexed="64"/>
      </right>
      <top style="dotted">
        <color indexed="64"/>
      </top>
      <bottom style="mediumDashDot">
        <color indexed="64"/>
      </bottom>
      <diagonal/>
    </border>
    <border>
      <left style="hair">
        <color auto="1"/>
      </left>
      <right/>
      <top style="dotted">
        <color indexed="64"/>
      </top>
      <bottom style="mediumDashDot">
        <color indexed="64"/>
      </bottom>
      <diagonal/>
    </border>
    <border>
      <left style="medium">
        <color indexed="64"/>
      </left>
      <right style="dotted">
        <color indexed="64"/>
      </right>
      <top style="dotted">
        <color indexed="64"/>
      </top>
      <bottom style="mediumDashDot">
        <color indexed="64"/>
      </bottom>
      <diagonal/>
    </border>
    <border>
      <left style="dotted">
        <color indexed="64"/>
      </left>
      <right style="dotted">
        <color indexed="64"/>
      </right>
      <top style="dotted">
        <color indexed="64"/>
      </top>
      <bottom style="mediumDashDot">
        <color indexed="64"/>
      </bottom>
      <diagonal/>
    </border>
    <border>
      <left style="dotted">
        <color indexed="64"/>
      </left>
      <right style="medium">
        <color indexed="64"/>
      </right>
      <top style="dotted">
        <color indexed="64"/>
      </top>
      <bottom style="mediumDashDot">
        <color indexed="64"/>
      </bottom>
      <diagonal/>
    </border>
    <border>
      <left/>
      <right style="hair">
        <color auto="1"/>
      </right>
      <top style="dotted">
        <color indexed="64"/>
      </top>
      <bottom style="mediumDashDot">
        <color indexed="64"/>
      </bottom>
      <diagonal/>
    </border>
    <border>
      <left style="hair">
        <color auto="1"/>
      </left>
      <right style="medium">
        <color indexed="64"/>
      </right>
      <top style="dotted">
        <color indexed="64"/>
      </top>
      <bottom style="mediumDashDot">
        <color indexed="64"/>
      </bottom>
      <diagonal/>
    </border>
    <border>
      <left/>
      <right style="dotted">
        <color indexed="64"/>
      </right>
      <top style="medium">
        <color indexed="64"/>
      </top>
      <bottom/>
      <diagonal/>
    </border>
    <border>
      <left/>
      <right style="dotted">
        <color indexed="64"/>
      </right>
      <top style="mediumDashDot">
        <color indexed="64"/>
      </top>
      <bottom style="dotted">
        <color indexed="64"/>
      </bottom>
      <diagonal/>
    </border>
    <border>
      <left/>
      <right style="dotted">
        <color indexed="64"/>
      </right>
      <top style="dotted">
        <color indexed="64"/>
      </top>
      <bottom style="mediumDashDot">
        <color indexed="64"/>
      </bottom>
      <diagonal/>
    </border>
    <border>
      <left style="medium">
        <color indexed="64"/>
      </left>
      <right style="hair">
        <color indexed="64"/>
      </right>
      <top style="medium">
        <color indexed="64"/>
      </top>
      <bottom style="dotted">
        <color indexed="64"/>
      </bottom>
      <diagonal/>
    </border>
    <border>
      <left style="hair">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dotted">
        <color auto="1"/>
      </left>
      <right style="dotted">
        <color auto="1"/>
      </right>
      <top style="dotted">
        <color auto="1"/>
      </top>
      <bottom style="dotted">
        <color auto="1"/>
      </bottom>
      <diagonal/>
    </border>
    <border>
      <left style="medium">
        <color indexed="64"/>
      </left>
      <right style="dashed">
        <color auto="1"/>
      </right>
      <top style="medium">
        <color indexed="64"/>
      </top>
      <bottom style="medium">
        <color indexed="64"/>
      </bottom>
      <diagonal/>
    </border>
    <border>
      <left style="medium">
        <color indexed="64"/>
      </left>
      <right style="dotted">
        <color auto="1"/>
      </right>
      <top style="dotted">
        <color auto="1"/>
      </top>
      <bottom style="dotted">
        <color auto="1"/>
      </bottom>
      <diagonal/>
    </border>
    <border>
      <left style="dotted">
        <color auto="1"/>
      </left>
      <right style="medium">
        <color indexed="64"/>
      </right>
      <top style="dotted">
        <color auto="1"/>
      </top>
      <bottom style="dotted">
        <color auto="1"/>
      </bottom>
      <diagonal/>
    </border>
    <border>
      <left style="dotted">
        <color indexed="64"/>
      </left>
      <right/>
      <top style="medium">
        <color auto="1"/>
      </top>
      <bottom style="medium">
        <color auto="1"/>
      </bottom>
      <diagonal/>
    </border>
    <border>
      <left style="dotted">
        <color auto="1"/>
      </left>
      <right/>
      <top style="dotted">
        <color auto="1"/>
      </top>
      <bottom style="dotted">
        <color auto="1"/>
      </bottom>
      <diagonal/>
    </border>
    <border>
      <left style="dotted">
        <color indexed="64"/>
      </left>
      <right/>
      <top style="dotted">
        <color indexed="64"/>
      </top>
      <bottom style="mediumDashDot">
        <color indexed="64"/>
      </bottom>
      <diagonal/>
    </border>
    <border>
      <left style="dotted">
        <color indexed="64"/>
      </left>
      <right/>
      <top style="mediumDashDot">
        <color indexed="64"/>
      </top>
      <bottom style="dotted">
        <color indexed="64"/>
      </bottom>
      <diagonal/>
    </border>
    <border>
      <left style="dotted">
        <color indexed="64"/>
      </left>
      <right/>
      <top style="dotted">
        <color indexed="64"/>
      </top>
      <bottom style="medium">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auto="1"/>
      </top>
      <bottom style="dotted">
        <color auto="1"/>
      </bottom>
      <diagonal/>
    </border>
    <border>
      <left style="medium">
        <color indexed="64"/>
      </left>
      <right style="medium">
        <color indexed="64"/>
      </right>
      <top style="dotted">
        <color indexed="64"/>
      </top>
      <bottom style="mediumDashDot">
        <color indexed="64"/>
      </bottom>
      <diagonal/>
    </border>
    <border>
      <left style="medium">
        <color indexed="64"/>
      </left>
      <right style="medium">
        <color indexed="64"/>
      </right>
      <top style="mediumDashDot">
        <color indexed="64"/>
      </top>
      <bottom style="dotted">
        <color indexed="64"/>
      </bottom>
      <diagonal/>
    </border>
    <border>
      <left/>
      <right/>
      <top style="dotted">
        <color indexed="64"/>
      </top>
      <bottom style="mediumDashed">
        <color indexed="64"/>
      </bottom>
      <diagonal/>
    </border>
    <border>
      <left style="hair">
        <color indexed="64"/>
      </left>
      <right style="hair">
        <color indexed="64"/>
      </right>
      <top style="medium">
        <color auto="1"/>
      </top>
      <bottom style="medium">
        <color auto="1"/>
      </bottom>
      <diagonal/>
    </border>
    <border>
      <left/>
      <right/>
      <top style="dotted">
        <color indexed="64"/>
      </top>
      <bottom style="mediumDashDot">
        <color indexed="64"/>
      </bottom>
      <diagonal/>
    </border>
    <border>
      <left style="medium">
        <color indexed="64"/>
      </left>
      <right/>
      <top style="dotted">
        <color auto="1"/>
      </top>
      <bottom style="dotted">
        <color auto="1"/>
      </bottom>
      <diagonal/>
    </border>
    <border>
      <left/>
      <right/>
      <top style="dotted">
        <color auto="1"/>
      </top>
      <bottom style="dotted">
        <color auto="1"/>
      </bottom>
      <diagonal/>
    </border>
    <border>
      <left/>
      <right style="medium">
        <color indexed="64"/>
      </right>
      <top style="dotted">
        <color auto="1"/>
      </top>
      <bottom style="dotted">
        <color auto="1"/>
      </bottom>
      <diagonal/>
    </border>
    <border>
      <left style="medium">
        <color indexed="64"/>
      </left>
      <right/>
      <top style="dotted">
        <color auto="1"/>
      </top>
      <bottom style="mediumDashDot">
        <color indexed="64"/>
      </bottom>
      <diagonal/>
    </border>
    <border>
      <left/>
      <right style="medium">
        <color indexed="64"/>
      </right>
      <top style="dotted">
        <color auto="1"/>
      </top>
      <bottom style="mediumDashDot">
        <color indexed="64"/>
      </bottom>
      <diagonal/>
    </border>
  </borders>
  <cellStyleXfs count="41">
    <xf numFmtId="0" fontId="0" fillId="0" borderId="0">
      <protection locked="0"/>
    </xf>
    <xf numFmtId="9" fontId="13" fillId="0" borderId="0" applyFill="0" applyBorder="0" applyAlignment="0" applyProtection="0"/>
    <xf numFmtId="0" fontId="13" fillId="0" borderId="0"/>
    <xf numFmtId="0" fontId="1" fillId="0" borderId="0" applyBorder="0">
      <protection locked="0"/>
    </xf>
    <xf numFmtId="9" fontId="31" fillId="0" borderId="0" applyFont="0" applyFill="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1" borderId="0" applyNumberFormat="0" applyBorder="0" applyAlignment="0" applyProtection="0"/>
    <xf numFmtId="0" fontId="32"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34" fillId="16" borderId="35" applyNumberFormat="0" applyAlignment="0" applyProtection="0"/>
    <xf numFmtId="169" fontId="13" fillId="0" borderId="0" applyFill="0" applyBorder="0" applyAlignment="0" applyProtection="0"/>
    <xf numFmtId="0" fontId="13" fillId="17" borderId="36" applyNumberFormat="0" applyAlignment="0" applyProtection="0"/>
    <xf numFmtId="169" fontId="13" fillId="0" borderId="0" applyFill="0" applyBorder="0" applyAlignment="0" applyProtection="0"/>
    <xf numFmtId="0" fontId="13" fillId="0" borderId="0" applyNumberFormat="0" applyFill="0" applyBorder="0" applyProtection="0">
      <alignment horizontal="center"/>
    </xf>
    <xf numFmtId="0" fontId="35" fillId="11" borderId="35" applyNumberFormat="0" applyAlignment="0" applyProtection="0"/>
    <xf numFmtId="0" fontId="41" fillId="0" borderId="0" applyNumberFormat="0" applyFill="0" applyBorder="0" applyAlignment="0" applyProtection="0"/>
    <xf numFmtId="43" fontId="13" fillId="0" borderId="0" applyFill="0" applyBorder="0" applyAlignment="0" applyProtection="0"/>
    <xf numFmtId="43" fontId="13" fillId="0" borderId="0" applyFont="0" applyFill="0" applyBorder="0" applyAlignment="0" applyProtection="0"/>
    <xf numFmtId="0" fontId="36" fillId="0" borderId="0"/>
    <xf numFmtId="9" fontId="13" fillId="0" borderId="0" applyFont="0" applyFill="0" applyBorder="0" applyAlignment="0" applyProtection="0"/>
    <xf numFmtId="0" fontId="37" fillId="0" borderId="0" applyNumberFormat="0" applyFill="0" applyBorder="0" applyAlignment="0" applyProtection="0"/>
    <xf numFmtId="170" fontId="37" fillId="0" borderId="0" applyFill="0" applyBorder="0" applyAlignment="0" applyProtection="0"/>
    <xf numFmtId="0" fontId="38" fillId="16" borderId="37"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13" fillId="0" borderId="0" applyNumberFormat="0" applyFill="0" applyBorder="0" applyProtection="0">
      <alignment horizontal="center" textRotation="90"/>
    </xf>
    <xf numFmtId="43" fontId="45" fillId="0" borderId="0" applyFont="0" applyFill="0" applyBorder="0" applyAlignment="0" applyProtection="0"/>
    <xf numFmtId="0" fontId="31" fillId="0" borderId="0">
      <protection locked="0"/>
    </xf>
    <xf numFmtId="0" fontId="47" fillId="0" borderId="0" applyNumberFormat="0" applyFill="0" applyBorder="0" applyAlignment="0" applyProtection="0">
      <protection locked="0"/>
    </xf>
    <xf numFmtId="9" fontId="31" fillId="0" borderId="0" applyFont="0" applyFill="0" applyBorder="0" applyAlignment="0" applyProtection="0"/>
    <xf numFmtId="43" fontId="31" fillId="0" borderId="0" applyFont="0" applyFill="0" applyBorder="0" applyAlignment="0" applyProtection="0"/>
    <xf numFmtId="0" fontId="68" fillId="0" borderId="0">
      <protection locked="0"/>
    </xf>
    <xf numFmtId="0" fontId="86" fillId="30" borderId="0">
      <alignment wrapText="1"/>
    </xf>
    <xf numFmtId="0" fontId="86" fillId="0" borderId="0">
      <alignment wrapText="1"/>
    </xf>
    <xf numFmtId="0" fontId="86" fillId="0" borderId="0">
      <alignment wrapText="1"/>
    </xf>
    <xf numFmtId="0" fontId="86" fillId="0" borderId="0">
      <alignment wrapText="1"/>
    </xf>
    <xf numFmtId="172" fontId="86" fillId="0" borderId="0">
      <alignment wrapText="1"/>
    </xf>
  </cellStyleXfs>
  <cellXfs count="465">
    <xf numFmtId="0" fontId="0" fillId="0" borderId="0" xfId="0">
      <protection locked="0"/>
    </xf>
    <xf numFmtId="0" fontId="0" fillId="0" borderId="0" xfId="0">
      <protection locked="0"/>
    </xf>
    <xf numFmtId="0" fontId="5" fillId="0" borderId="0" xfId="0" applyFont="1">
      <protection locked="0"/>
    </xf>
    <xf numFmtId="0" fontId="3" fillId="0" borderId="3" xfId="0" applyFont="1" applyBorder="1">
      <protection locked="0"/>
    </xf>
    <xf numFmtId="0" fontId="3" fillId="0" borderId="0" xfId="0" applyFont="1">
      <protection locked="0"/>
    </xf>
    <xf numFmtId="0" fontId="3" fillId="3" borderId="0" xfId="0" applyFont="1" applyFill="1">
      <protection locked="0"/>
    </xf>
    <xf numFmtId="0" fontId="3" fillId="5" borderId="0" xfId="0" applyFont="1" applyFill="1">
      <protection locked="0"/>
    </xf>
    <xf numFmtId="0" fontId="3" fillId="0" borderId="1" xfId="0" applyFont="1" applyBorder="1">
      <protection locked="0"/>
    </xf>
    <xf numFmtId="0" fontId="3" fillId="0" borderId="2" xfId="0" applyFont="1" applyBorder="1">
      <protection locked="0"/>
    </xf>
    <xf numFmtId="0" fontId="3" fillId="0" borderId="4" xfId="0" applyFont="1" applyBorder="1">
      <protection locked="0"/>
    </xf>
    <xf numFmtId="0" fontId="3" fillId="3" borderId="5" xfId="0" applyFont="1" applyFill="1" applyBorder="1">
      <protection locked="0"/>
    </xf>
    <xf numFmtId="0" fontId="3" fillId="3" borderId="6" xfId="0" applyFont="1" applyFill="1" applyBorder="1">
      <protection locked="0"/>
    </xf>
    <xf numFmtId="0" fontId="3" fillId="5" borderId="6" xfId="0" applyFont="1" applyFill="1" applyBorder="1">
      <protection locked="0"/>
    </xf>
    <xf numFmtId="0" fontId="3" fillId="0" borderId="6" xfId="0" applyFont="1" applyBorder="1">
      <protection locked="0"/>
    </xf>
    <xf numFmtId="0" fontId="3" fillId="0" borderId="7" xfId="0" applyFont="1" applyBorder="1">
      <protection locked="0"/>
    </xf>
    <xf numFmtId="0" fontId="3" fillId="0" borderId="8" xfId="0" applyFont="1" applyBorder="1">
      <protection locked="0"/>
    </xf>
    <xf numFmtId="0" fontId="3" fillId="3" borderId="8" xfId="0" applyFont="1" applyFill="1" applyBorder="1">
      <protection locked="0"/>
    </xf>
    <xf numFmtId="0" fontId="3" fillId="3" borderId="1" xfId="0" applyFont="1" applyFill="1" applyBorder="1">
      <protection locked="0"/>
    </xf>
    <xf numFmtId="49" fontId="6" fillId="0" borderId="0" xfId="0" applyNumberFormat="1" applyFont="1" applyAlignment="1">
      <alignment horizontal="left" vertical="center"/>
      <protection locked="0"/>
    </xf>
    <xf numFmtId="0" fontId="0" fillId="0" borderId="0" xfId="0">
      <protection locked="0"/>
    </xf>
    <xf numFmtId="0" fontId="14" fillId="0" borderId="0" xfId="2" applyFont="1" applyFill="1"/>
    <xf numFmtId="0" fontId="15" fillId="0" borderId="0" xfId="2" applyFont="1" applyFill="1"/>
    <xf numFmtId="0" fontId="17" fillId="0" borderId="0" xfId="2" applyFont="1" applyFill="1"/>
    <xf numFmtId="0" fontId="15" fillId="0" borderId="0" xfId="2" applyFont="1" applyFill="1" applyBorder="1"/>
    <xf numFmtId="0" fontId="18" fillId="0" borderId="0" xfId="2" applyFont="1" applyFill="1" applyAlignment="1"/>
    <xf numFmtId="0" fontId="19" fillId="0" borderId="0" xfId="2" applyFont="1" applyFill="1"/>
    <xf numFmtId="0" fontId="13" fillId="0" borderId="0" xfId="2" applyFill="1" applyAlignment="1">
      <alignment horizontal="center"/>
    </xf>
    <xf numFmtId="0" fontId="21" fillId="0" borderId="0" xfId="2" applyFont="1" applyFill="1"/>
    <xf numFmtId="0" fontId="21" fillId="0" borderId="0" xfId="2" applyFont="1" applyFill="1" applyBorder="1"/>
    <xf numFmtId="0" fontId="16" fillId="0" borderId="0" xfId="2" applyFont="1" applyFill="1"/>
    <xf numFmtId="165" fontId="16" fillId="0" borderId="0" xfId="2" applyNumberFormat="1" applyFont="1" applyFill="1"/>
    <xf numFmtId="0" fontId="23" fillId="0" borderId="0" xfId="2" applyFont="1" applyFill="1" applyAlignment="1"/>
    <xf numFmtId="0" fontId="23" fillId="0" borderId="0" xfId="2" applyFont="1" applyFill="1"/>
    <xf numFmtId="2" fontId="22" fillId="0" borderId="13" xfId="2" applyNumberFormat="1" applyFont="1" applyFill="1" applyBorder="1" applyAlignment="1">
      <alignment horizontal="center" vertical="center" wrapText="1"/>
    </xf>
    <xf numFmtId="9" fontId="22" fillId="0" borderId="13" xfId="1" applyFont="1" applyFill="1" applyBorder="1" applyAlignment="1">
      <alignment horizontal="right" vertical="center" wrapText="1"/>
    </xf>
    <xf numFmtId="2" fontId="22" fillId="0" borderId="14" xfId="2" applyNumberFormat="1" applyFont="1" applyFill="1" applyBorder="1" applyAlignment="1">
      <alignment horizontal="center" vertical="center" wrapText="1"/>
    </xf>
    <xf numFmtId="9" fontId="22" fillId="0" borderId="14" xfId="1" applyFont="1" applyFill="1" applyBorder="1" applyAlignment="1">
      <alignment horizontal="right" vertical="center" wrapText="1"/>
    </xf>
    <xf numFmtId="2" fontId="22" fillId="0" borderId="15" xfId="2" applyNumberFormat="1" applyFont="1" applyFill="1" applyBorder="1" applyAlignment="1">
      <alignment horizontal="center" vertical="center" wrapText="1"/>
    </xf>
    <xf numFmtId="9" fontId="22" fillId="0" borderId="15" xfId="1" applyFont="1" applyFill="1" applyBorder="1" applyAlignment="1">
      <alignment horizontal="right" vertical="center" wrapText="1"/>
    </xf>
    <xf numFmtId="0" fontId="25" fillId="8" borderId="0" xfId="2" applyFont="1" applyFill="1"/>
    <xf numFmtId="4" fontId="26" fillId="8" borderId="0" xfId="2" applyNumberFormat="1" applyFont="1" applyFill="1" applyAlignment="1" applyProtection="1">
      <protection locked="0"/>
    </xf>
    <xf numFmtId="0" fontId="15" fillId="7" borderId="0" xfId="2" applyFont="1" applyFill="1" applyBorder="1" applyAlignment="1">
      <alignment horizontal="left" vertical="center"/>
    </xf>
    <xf numFmtId="0" fontId="15" fillId="7" borderId="0" xfId="2" applyFont="1" applyFill="1" applyBorder="1" applyAlignment="1">
      <alignment vertical="center"/>
    </xf>
    <xf numFmtId="3" fontId="15" fillId="7" borderId="0" xfId="2" applyNumberFormat="1" applyFont="1" applyFill="1" applyBorder="1" applyAlignment="1">
      <alignment horizontal="left" vertical="center"/>
    </xf>
    <xf numFmtId="165" fontId="15" fillId="7" borderId="0" xfId="2" applyNumberFormat="1" applyFont="1" applyFill="1" applyBorder="1" applyAlignment="1">
      <alignment vertical="center"/>
    </xf>
    <xf numFmtId="3" fontId="15" fillId="7" borderId="0" xfId="2" applyNumberFormat="1" applyFont="1" applyFill="1" applyBorder="1" applyAlignment="1">
      <alignment vertical="center"/>
    </xf>
    <xf numFmtId="0" fontId="27" fillId="7" borderId="0" xfId="2" applyFont="1" applyFill="1" applyBorder="1" applyAlignment="1">
      <alignment horizontal="left" vertical="center"/>
    </xf>
    <xf numFmtId="165" fontId="27" fillId="7" borderId="0" xfId="2" applyNumberFormat="1" applyFont="1" applyFill="1" applyBorder="1" applyAlignment="1">
      <alignment horizontal="left" vertical="center"/>
    </xf>
    <xf numFmtId="0" fontId="17" fillId="7" borderId="0" xfId="2" applyFont="1" applyFill="1" applyBorder="1" applyAlignment="1">
      <alignment horizontal="left" vertical="center"/>
    </xf>
    <xf numFmtId="3" fontId="28" fillId="7" borderId="0" xfId="2" applyNumberFormat="1" applyFont="1" applyFill="1" applyBorder="1" applyAlignment="1">
      <alignment horizontal="left" vertical="center"/>
    </xf>
    <xf numFmtId="3" fontId="27" fillId="7" borderId="0" xfId="2" applyNumberFormat="1" applyFont="1" applyFill="1" applyBorder="1" applyAlignment="1">
      <alignment horizontal="center" vertical="center"/>
    </xf>
    <xf numFmtId="167" fontId="27" fillId="7" borderId="16" xfId="2" applyNumberFormat="1" applyFont="1" applyFill="1" applyBorder="1" applyAlignment="1">
      <alignment horizontal="center" vertical="center"/>
    </xf>
    <xf numFmtId="167" fontId="27" fillId="7" borderId="17" xfId="2" applyNumberFormat="1" applyFont="1" applyFill="1" applyBorder="1" applyAlignment="1">
      <alignment horizontal="center" vertical="center"/>
    </xf>
    <xf numFmtId="0" fontId="15" fillId="7" borderId="19" xfId="2" applyFont="1" applyFill="1" applyBorder="1" applyAlignment="1">
      <alignment horizontal="left" vertical="center"/>
    </xf>
    <xf numFmtId="168" fontId="15" fillId="7" borderId="19" xfId="2" applyNumberFormat="1" applyFont="1" applyFill="1" applyBorder="1" applyAlignment="1">
      <alignment horizontal="center" vertical="center"/>
    </xf>
    <xf numFmtId="168" fontId="15" fillId="7" borderId="20" xfId="2" applyNumberFormat="1" applyFont="1" applyFill="1" applyBorder="1" applyAlignment="1">
      <alignment horizontal="center" vertical="center"/>
    </xf>
    <xf numFmtId="3" fontId="15" fillId="7" borderId="19" xfId="2" applyNumberFormat="1" applyFont="1" applyFill="1" applyBorder="1" applyAlignment="1">
      <alignment horizontal="center" vertical="center"/>
    </xf>
    <xf numFmtId="3" fontId="15" fillId="7" borderId="21" xfId="2" applyNumberFormat="1" applyFont="1" applyFill="1" applyBorder="1" applyAlignment="1">
      <alignment horizontal="center" vertical="center"/>
    </xf>
    <xf numFmtId="9" fontId="13" fillId="7" borderId="18" xfId="1" applyFill="1" applyBorder="1" applyAlignment="1" applyProtection="1">
      <alignment horizontal="center" vertical="center"/>
    </xf>
    <xf numFmtId="0" fontId="29" fillId="7" borderId="0" xfId="2" applyFont="1" applyFill="1" applyBorder="1" applyAlignment="1">
      <alignment vertical="center"/>
    </xf>
    <xf numFmtId="168" fontId="15" fillId="7" borderId="22" xfId="2" applyNumberFormat="1" applyFont="1" applyFill="1" applyBorder="1" applyAlignment="1">
      <alignment horizontal="center" vertical="center"/>
    </xf>
    <xf numFmtId="168" fontId="15" fillId="7" borderId="23" xfId="2" applyNumberFormat="1" applyFont="1" applyFill="1" applyBorder="1" applyAlignment="1">
      <alignment horizontal="center" vertical="center"/>
    </xf>
    <xf numFmtId="3" fontId="15" fillId="7" borderId="22" xfId="2" applyNumberFormat="1" applyFont="1" applyFill="1" applyBorder="1" applyAlignment="1">
      <alignment horizontal="center" vertical="center"/>
    </xf>
    <xf numFmtId="3" fontId="15" fillId="7" borderId="24" xfId="2" applyNumberFormat="1" applyFont="1" applyFill="1" applyBorder="1" applyAlignment="1">
      <alignment horizontal="center" vertical="center"/>
    </xf>
    <xf numFmtId="0" fontId="13" fillId="7" borderId="0" xfId="2" applyFill="1"/>
    <xf numFmtId="168" fontId="15" fillId="7" borderId="0" xfId="2" applyNumberFormat="1" applyFont="1" applyFill="1" applyBorder="1" applyAlignment="1">
      <alignment horizontal="right" vertical="center"/>
    </xf>
    <xf numFmtId="1" fontId="15" fillId="7" borderId="16" xfId="2" applyNumberFormat="1" applyFont="1" applyFill="1" applyBorder="1" applyAlignment="1">
      <alignment horizontal="center" vertical="center"/>
    </xf>
    <xf numFmtId="1" fontId="15" fillId="7" borderId="17" xfId="2" applyNumberFormat="1" applyFont="1" applyFill="1" applyBorder="1" applyAlignment="1">
      <alignment horizontal="center" vertical="center"/>
    </xf>
    <xf numFmtId="168" fontId="15" fillId="7" borderId="0" xfId="2" applyNumberFormat="1" applyFont="1" applyFill="1" applyBorder="1" applyAlignment="1">
      <alignment vertical="center"/>
    </xf>
    <xf numFmtId="9" fontId="13" fillId="7" borderId="0" xfId="1" applyFill="1" applyBorder="1" applyAlignment="1" applyProtection="1">
      <alignment vertical="center"/>
    </xf>
    <xf numFmtId="0" fontId="20" fillId="7" borderId="0" xfId="2" applyFont="1" applyFill="1" applyBorder="1" applyAlignment="1">
      <alignment horizontal="left" vertical="center"/>
    </xf>
    <xf numFmtId="3" fontId="27" fillId="7" borderId="0" xfId="2" applyNumberFormat="1" applyFont="1" applyFill="1" applyBorder="1" applyAlignment="1">
      <alignment horizontal="left" vertical="center"/>
    </xf>
    <xf numFmtId="0" fontId="27" fillId="7" borderId="0" xfId="2" applyFont="1" applyFill="1" applyBorder="1" applyAlignment="1">
      <alignment horizontal="center" vertical="center"/>
    </xf>
    <xf numFmtId="0" fontId="27" fillId="7" borderId="16" xfId="2" applyNumberFormat="1" applyFont="1" applyFill="1" applyBorder="1" applyAlignment="1">
      <alignment horizontal="center" vertical="center" wrapText="1"/>
    </xf>
    <xf numFmtId="0" fontId="27" fillId="7" borderId="17" xfId="2" applyNumberFormat="1" applyFont="1" applyFill="1" applyBorder="1" applyAlignment="1">
      <alignment horizontal="center" vertical="center" wrapText="1"/>
    </xf>
    <xf numFmtId="0" fontId="15" fillId="7" borderId="0" xfId="2" applyFont="1" applyFill="1" applyBorder="1" applyAlignment="1">
      <alignment horizontal="center" vertical="center"/>
    </xf>
    <xf numFmtId="168" fontId="15" fillId="7" borderId="25" xfId="2" applyNumberFormat="1" applyFont="1" applyFill="1" applyBorder="1" applyAlignment="1">
      <alignment horizontal="center" vertical="center"/>
    </xf>
    <xf numFmtId="168" fontId="15" fillId="7" borderId="26" xfId="2" applyNumberFormat="1" applyFont="1" applyFill="1" applyBorder="1" applyAlignment="1">
      <alignment horizontal="center" vertical="center"/>
    </xf>
    <xf numFmtId="0" fontId="27" fillId="7" borderId="27" xfId="2" applyNumberFormat="1" applyFont="1" applyFill="1" applyBorder="1" applyAlignment="1">
      <alignment horizontal="center" vertical="center"/>
    </xf>
    <xf numFmtId="0" fontId="15" fillId="7" borderId="19" xfId="2" applyFont="1" applyFill="1" applyBorder="1" applyAlignment="1">
      <alignment horizontal="center" vertical="center"/>
    </xf>
    <xf numFmtId="168" fontId="15" fillId="7" borderId="21" xfId="2" applyNumberFormat="1" applyFont="1" applyFill="1" applyBorder="1" applyAlignment="1">
      <alignment horizontal="center" vertical="center"/>
    </xf>
    <xf numFmtId="1" fontId="15" fillId="7" borderId="28" xfId="2" applyNumberFormat="1" applyFont="1" applyFill="1" applyBorder="1" applyAlignment="1">
      <alignment horizontal="center" vertical="center"/>
    </xf>
    <xf numFmtId="9" fontId="15" fillId="7" borderId="16" xfId="1" applyFont="1" applyFill="1" applyBorder="1" applyAlignment="1" applyProtection="1">
      <alignment horizontal="center" vertical="center"/>
    </xf>
    <xf numFmtId="9" fontId="15" fillId="7" borderId="17" xfId="1" applyFont="1" applyFill="1" applyBorder="1" applyAlignment="1" applyProtection="1">
      <alignment horizontal="center" vertical="center"/>
    </xf>
    <xf numFmtId="9" fontId="15" fillId="7" borderId="28" xfId="1" applyFont="1" applyFill="1" applyBorder="1" applyAlignment="1" applyProtection="1">
      <alignment horizontal="center" vertical="center"/>
    </xf>
    <xf numFmtId="1" fontId="30" fillId="7" borderId="0" xfId="2" applyNumberFormat="1" applyFont="1" applyFill="1" applyBorder="1" applyAlignment="1">
      <alignment vertical="center"/>
    </xf>
    <xf numFmtId="1" fontId="15" fillId="7" borderId="0" xfId="2" applyNumberFormat="1" applyFont="1" applyFill="1" applyBorder="1" applyAlignment="1">
      <alignment vertical="center"/>
    </xf>
    <xf numFmtId="1" fontId="15" fillId="7" borderId="0" xfId="2" applyNumberFormat="1" applyFont="1" applyFill="1" applyBorder="1" applyAlignment="1">
      <alignment horizontal="center"/>
    </xf>
    <xf numFmtId="2" fontId="22" fillId="0" borderId="32" xfId="2" applyNumberFormat="1" applyFont="1" applyFill="1" applyBorder="1" applyAlignment="1">
      <alignment horizontal="center" vertical="center" wrapText="1"/>
    </xf>
    <xf numFmtId="9" fontId="22" fillId="0" borderId="32" xfId="1" applyFont="1" applyFill="1" applyBorder="1" applyAlignment="1">
      <alignment horizontal="right" vertical="center" wrapText="1"/>
    </xf>
    <xf numFmtId="2" fontId="22" fillId="0" borderId="33" xfId="2" applyNumberFormat="1" applyFont="1" applyFill="1" applyBorder="1" applyAlignment="1">
      <alignment horizontal="center" vertical="center" wrapText="1"/>
    </xf>
    <xf numFmtId="9" fontId="22" fillId="0" borderId="33" xfId="1" applyFont="1" applyFill="1" applyBorder="1" applyAlignment="1">
      <alignment horizontal="right" vertical="center" wrapText="1"/>
    </xf>
    <xf numFmtId="2" fontId="22" fillId="0" borderId="34" xfId="2" applyNumberFormat="1" applyFont="1" applyFill="1" applyBorder="1" applyAlignment="1">
      <alignment horizontal="center" vertical="center" wrapText="1"/>
    </xf>
    <xf numFmtId="9" fontId="22" fillId="0" borderId="34" xfId="1" applyFont="1" applyFill="1" applyBorder="1" applyAlignment="1">
      <alignment horizontal="right" vertical="center" wrapText="1"/>
    </xf>
    <xf numFmtId="0" fontId="22" fillId="8" borderId="0" xfId="2" applyFont="1" applyFill="1" applyAlignment="1">
      <alignment horizontal="left" vertical="center" wrapText="1"/>
    </xf>
    <xf numFmtId="0" fontId="13" fillId="0" borderId="0" xfId="2"/>
    <xf numFmtId="49" fontId="43" fillId="0" borderId="0" xfId="2" applyNumberFormat="1" applyFont="1" applyFill="1" applyBorder="1" applyAlignment="1">
      <alignment horizontal="left" vertical="center"/>
    </xf>
    <xf numFmtId="0" fontId="42" fillId="0" borderId="0" xfId="2" applyFont="1" applyFill="1" applyAlignment="1"/>
    <xf numFmtId="0" fontId="17" fillId="0" borderId="0" xfId="2" applyFont="1" applyFill="1" applyAlignment="1"/>
    <xf numFmtId="0" fontId="13" fillId="0" borderId="0" xfId="2" applyFill="1"/>
    <xf numFmtId="0" fontId="44" fillId="0" borderId="0" xfId="2" applyFont="1" applyFill="1" applyAlignment="1"/>
    <xf numFmtId="0" fontId="17" fillId="0" borderId="0" xfId="2" applyFont="1" applyAlignment="1">
      <alignment vertical="center"/>
    </xf>
    <xf numFmtId="3" fontId="15" fillId="7" borderId="39" xfId="2" applyNumberFormat="1" applyFont="1" applyFill="1" applyBorder="1" applyAlignment="1">
      <alignment horizontal="center" vertical="center"/>
    </xf>
    <xf numFmtId="3" fontId="15" fillId="7" borderId="40" xfId="2" applyNumberFormat="1" applyFont="1" applyFill="1" applyBorder="1" applyAlignment="1">
      <alignment horizontal="center" vertical="center"/>
    </xf>
    <xf numFmtId="165" fontId="27" fillId="7" borderId="0" xfId="2" applyNumberFormat="1" applyFont="1" applyFill="1" applyBorder="1" applyAlignment="1">
      <alignment horizontal="center" vertical="center" wrapText="1"/>
    </xf>
    <xf numFmtId="9" fontId="13" fillId="7" borderId="0" xfId="1" applyFill="1" applyBorder="1" applyAlignment="1" applyProtection="1">
      <alignment horizontal="center" vertical="center"/>
    </xf>
    <xf numFmtId="167" fontId="27" fillId="7" borderId="43" xfId="2" applyNumberFormat="1" applyFont="1" applyFill="1" applyBorder="1" applyAlignment="1">
      <alignment horizontal="center" vertical="center"/>
    </xf>
    <xf numFmtId="9" fontId="13" fillId="7" borderId="44" xfId="1" applyFill="1" applyBorder="1" applyAlignment="1">
      <alignment horizontal="center" vertical="center"/>
    </xf>
    <xf numFmtId="9" fontId="13" fillId="7" borderId="45" xfId="1" applyFill="1" applyBorder="1" applyAlignment="1">
      <alignment horizontal="center" vertical="center"/>
    </xf>
    <xf numFmtId="49" fontId="27" fillId="7" borderId="38" xfId="2" applyNumberFormat="1" applyFont="1" applyFill="1" applyBorder="1" applyAlignment="1">
      <alignment horizontal="center" vertical="center"/>
    </xf>
    <xf numFmtId="1" fontId="15" fillId="7" borderId="38" xfId="2" applyNumberFormat="1" applyFont="1" applyFill="1" applyBorder="1" applyAlignment="1">
      <alignment horizontal="center" vertical="center"/>
    </xf>
    <xf numFmtId="9" fontId="13" fillId="7" borderId="41" xfId="1" applyFill="1" applyBorder="1" applyAlignment="1">
      <alignment horizontal="center" vertical="center"/>
    </xf>
    <xf numFmtId="0" fontId="27" fillId="7" borderId="28" xfId="2" applyNumberFormat="1" applyFont="1" applyFill="1" applyBorder="1" applyAlignment="1">
      <alignment horizontal="center" vertical="center" wrapText="1"/>
    </xf>
    <xf numFmtId="168" fontId="15" fillId="7" borderId="46" xfId="2" applyNumberFormat="1" applyFont="1" applyFill="1" applyBorder="1" applyAlignment="1">
      <alignment horizontal="center" vertical="center"/>
    </xf>
    <xf numFmtId="168" fontId="15" fillId="7" borderId="18" xfId="2" applyNumberFormat="1" applyFont="1" applyFill="1" applyBorder="1" applyAlignment="1">
      <alignment horizontal="center" vertical="center"/>
    </xf>
    <xf numFmtId="9" fontId="15" fillId="0" borderId="0" xfId="4" applyFont="1" applyFill="1"/>
    <xf numFmtId="164" fontId="13" fillId="0" borderId="0" xfId="2" applyNumberFormat="1"/>
    <xf numFmtId="0" fontId="31" fillId="0" borderId="0" xfId="31">
      <protection locked="0"/>
    </xf>
    <xf numFmtId="0" fontId="27" fillId="7" borderId="48" xfId="2" applyNumberFormat="1" applyFont="1" applyFill="1" applyBorder="1" applyAlignment="1">
      <alignment horizontal="center" vertical="center" wrapText="1"/>
    </xf>
    <xf numFmtId="168" fontId="15" fillId="7" borderId="49" xfId="2" applyNumberFormat="1" applyFont="1" applyFill="1" applyBorder="1" applyAlignment="1">
      <alignment horizontal="center" vertical="center"/>
    </xf>
    <xf numFmtId="0" fontId="27" fillId="7" borderId="50" xfId="2" applyNumberFormat="1" applyFont="1" applyFill="1" applyBorder="1" applyAlignment="1">
      <alignment horizontal="center" vertical="center"/>
    </xf>
    <xf numFmtId="168" fontId="15" fillId="7" borderId="42" xfId="2" applyNumberFormat="1" applyFont="1" applyFill="1" applyBorder="1" applyAlignment="1">
      <alignment horizontal="center" vertical="center"/>
    </xf>
    <xf numFmtId="1" fontId="15" fillId="7" borderId="50" xfId="2" applyNumberFormat="1" applyFont="1" applyFill="1" applyBorder="1" applyAlignment="1">
      <alignment horizontal="center" vertical="center"/>
    </xf>
    <xf numFmtId="9" fontId="15" fillId="7" borderId="51" xfId="1" applyFont="1" applyFill="1" applyBorder="1" applyAlignment="1" applyProtection="1">
      <alignment horizontal="center" vertical="center"/>
    </xf>
    <xf numFmtId="1" fontId="15" fillId="7" borderId="25" xfId="2" applyNumberFormat="1" applyFont="1" applyFill="1" applyBorder="1" applyAlignment="1">
      <alignment horizontal="center" vertical="center"/>
    </xf>
    <xf numFmtId="1" fontId="15" fillId="7" borderId="52" xfId="2" applyNumberFormat="1" applyFont="1" applyFill="1" applyBorder="1" applyAlignment="1">
      <alignment horizontal="center" vertical="center"/>
    </xf>
    <xf numFmtId="1" fontId="15" fillId="7" borderId="24" xfId="2" applyNumberFormat="1" applyFont="1" applyFill="1" applyBorder="1" applyAlignment="1">
      <alignment horizontal="center" vertical="center"/>
    </xf>
    <xf numFmtId="1" fontId="15" fillId="7" borderId="53" xfId="2" applyNumberFormat="1" applyFont="1" applyFill="1" applyBorder="1" applyAlignment="1">
      <alignment horizontal="center" vertical="center"/>
    </xf>
    <xf numFmtId="0" fontId="48" fillId="0" borderId="0" xfId="2" applyFont="1" applyFill="1" applyAlignment="1">
      <alignment vertical="center"/>
    </xf>
    <xf numFmtId="0" fontId="48" fillId="0" borderId="0" xfId="2" applyFont="1" applyFill="1"/>
    <xf numFmtId="0" fontId="49" fillId="0" borderId="0" xfId="2" applyFont="1" applyFill="1"/>
    <xf numFmtId="0" fontId="49" fillId="0" borderId="0" xfId="2" applyFont="1" applyFill="1" applyBorder="1"/>
    <xf numFmtId="0" fontId="50" fillId="0" borderId="0" xfId="2" applyFont="1" applyFill="1" applyBorder="1"/>
    <xf numFmtId="0" fontId="51" fillId="0" borderId="0" xfId="2" applyFont="1" applyFill="1"/>
    <xf numFmtId="0" fontId="50" fillId="0" borderId="0" xfId="2" applyFont="1" applyFill="1"/>
    <xf numFmtId="166" fontId="51" fillId="0" borderId="0" xfId="2" applyNumberFormat="1" applyFont="1" applyFill="1"/>
    <xf numFmtId="0" fontId="52" fillId="0" borderId="0" xfId="2" applyFont="1" applyFill="1" applyAlignment="1">
      <alignment horizontal="left" vertical="center"/>
    </xf>
    <xf numFmtId="0" fontId="53" fillId="0" borderId="0" xfId="2" applyFont="1" applyFill="1"/>
    <xf numFmtId="0" fontId="50" fillId="0" borderId="32" xfId="2" applyFont="1" applyFill="1" applyBorder="1"/>
    <xf numFmtId="0" fontId="50" fillId="0" borderId="33" xfId="2" applyFont="1" applyFill="1" applyBorder="1"/>
    <xf numFmtId="0" fontId="50" fillId="0" borderId="34" xfId="2" applyFont="1" applyFill="1" applyBorder="1"/>
    <xf numFmtId="0" fontId="50" fillId="0" borderId="13" xfId="2" applyFont="1" applyFill="1" applyBorder="1"/>
    <xf numFmtId="0" fontId="50" fillId="0" borderId="14" xfId="2" applyFont="1" applyFill="1" applyBorder="1"/>
    <xf numFmtId="0" fontId="50" fillId="0" borderId="15" xfId="2" applyFont="1" applyFill="1" applyBorder="1"/>
    <xf numFmtId="2" fontId="46" fillId="7" borderId="0" xfId="2" applyNumberFormat="1" applyFont="1" applyFill="1" applyBorder="1" applyAlignment="1">
      <alignment horizontal="left" vertical="center"/>
    </xf>
    <xf numFmtId="0" fontId="53" fillId="7" borderId="0" xfId="2" applyFont="1" applyFill="1"/>
    <xf numFmtId="0" fontId="53" fillId="8" borderId="0" xfId="2" applyFont="1" applyFill="1"/>
    <xf numFmtId="0" fontId="49" fillId="7" borderId="0" xfId="2" applyFont="1" applyFill="1" applyBorder="1"/>
    <xf numFmtId="0" fontId="9" fillId="0" borderId="0" xfId="31" applyFont="1" applyFill="1" applyBorder="1" applyAlignment="1">
      <alignment vertical="center"/>
      <protection locked="0"/>
    </xf>
    <xf numFmtId="171" fontId="10" fillId="0" borderId="0" xfId="30" applyNumberFormat="1" applyFont="1" applyFill="1" applyBorder="1" applyAlignment="1" applyProtection="1">
      <alignment horizontal="right" vertical="center"/>
      <protection locked="0"/>
    </xf>
    <xf numFmtId="171" fontId="11" fillId="0" borderId="0" xfId="30" applyNumberFormat="1" applyFont="1" applyFill="1" applyBorder="1" applyAlignment="1" applyProtection="1">
      <alignment horizontal="right" vertical="center"/>
      <protection locked="0"/>
    </xf>
    <xf numFmtId="0" fontId="31" fillId="0" borderId="54" xfId="31" applyFont="1" applyBorder="1" applyAlignment="1">
      <alignment horizontal="center" vertical="center" wrapText="1" shrinkToFit="1"/>
      <protection locked="0"/>
    </xf>
    <xf numFmtId="0" fontId="46" fillId="0" borderId="0" xfId="2" applyFont="1" applyFill="1" applyBorder="1" applyAlignment="1">
      <alignment horizontal="left" vertical="center"/>
    </xf>
    <xf numFmtId="0" fontId="46" fillId="0" borderId="0" xfId="2" applyFont="1"/>
    <xf numFmtId="3" fontId="57" fillId="0" borderId="47" xfId="31" applyNumberFormat="1" applyFont="1" applyBorder="1">
      <protection locked="0"/>
    </xf>
    <xf numFmtId="3" fontId="56" fillId="0" borderId="47" xfId="31" applyNumberFormat="1" applyFont="1" applyBorder="1">
      <protection locked="0"/>
    </xf>
    <xf numFmtId="3" fontId="56" fillId="4" borderId="47" xfId="31" applyNumberFormat="1" applyFont="1" applyFill="1" applyBorder="1">
      <protection locked="0"/>
    </xf>
    <xf numFmtId="9" fontId="21" fillId="0" borderId="0" xfId="4" applyFont="1" applyFill="1" applyAlignment="1">
      <alignment horizontal="left"/>
    </xf>
    <xf numFmtId="9" fontId="16" fillId="0" borderId="0" xfId="4" applyFont="1" applyFill="1" applyAlignment="1">
      <alignment horizontal="left"/>
    </xf>
    <xf numFmtId="9" fontId="25" fillId="8" borderId="0" xfId="4" applyFont="1" applyFill="1"/>
    <xf numFmtId="0" fontId="7" fillId="0" borderId="0" xfId="0" applyFont="1" applyBorder="1" applyAlignment="1">
      <protection locked="0"/>
    </xf>
    <xf numFmtId="0" fontId="13" fillId="0" borderId="0" xfId="2" applyFont="1" applyFill="1" applyBorder="1" applyAlignment="1"/>
    <xf numFmtId="0" fontId="13" fillId="0" borderId="0" xfId="2" applyFill="1" applyBorder="1"/>
    <xf numFmtId="0" fontId="57" fillId="0" borderId="8" xfId="31" applyFont="1" applyBorder="1" applyAlignment="1">
      <alignment horizontal="center" vertical="center" wrapText="1" shrinkToFit="1"/>
      <protection locked="0"/>
    </xf>
    <xf numFmtId="0" fontId="56" fillId="0" borderId="8" xfId="31" applyFont="1" applyBorder="1" applyAlignment="1">
      <alignment horizontal="center" vertical="center" wrapText="1" shrinkToFit="1"/>
      <protection locked="0"/>
    </xf>
    <xf numFmtId="0" fontId="56" fillId="0" borderId="7" xfId="31" applyFont="1" applyBorder="1" applyAlignment="1">
      <alignment horizontal="center" vertical="center" wrapText="1" shrinkToFit="1"/>
      <protection locked="0"/>
    </xf>
    <xf numFmtId="0" fontId="44" fillId="0" borderId="55" xfId="2" applyFont="1" applyFill="1" applyBorder="1" applyAlignment="1"/>
    <xf numFmtId="0" fontId="13" fillId="0" borderId="55" xfId="2" applyBorder="1"/>
    <xf numFmtId="0" fontId="13" fillId="0" borderId="57" xfId="2" applyBorder="1"/>
    <xf numFmtId="0" fontId="13" fillId="0" borderId="58" xfId="2" applyBorder="1"/>
    <xf numFmtId="0" fontId="13" fillId="0" borderId="0" xfId="2" applyBorder="1"/>
    <xf numFmtId="0" fontId="13" fillId="0" borderId="59" xfId="2" applyBorder="1"/>
    <xf numFmtId="0" fontId="67" fillId="0" borderId="61" xfId="2" applyFont="1" applyBorder="1" applyAlignment="1">
      <alignment vertical="center"/>
    </xf>
    <xf numFmtId="0" fontId="67" fillId="0" borderId="62" xfId="2" applyFont="1" applyBorder="1" applyAlignment="1">
      <alignment vertical="center"/>
    </xf>
    <xf numFmtId="0" fontId="67" fillId="0" borderId="60" xfId="2" applyFont="1" applyBorder="1" applyAlignment="1">
      <alignment vertical="center"/>
    </xf>
    <xf numFmtId="9" fontId="13" fillId="0" borderId="0" xfId="4" applyFont="1"/>
    <xf numFmtId="3" fontId="13" fillId="0" borderId="0" xfId="2" applyNumberFormat="1"/>
    <xf numFmtId="9" fontId="10" fillId="0" borderId="0" xfId="33" applyFont="1" applyFill="1" applyBorder="1" applyAlignment="1" applyProtection="1">
      <alignment horizontal="right" vertical="center"/>
      <protection locked="0"/>
    </xf>
    <xf numFmtId="171" fontId="12" fillId="0" borderId="0" xfId="34" applyNumberFormat="1" applyFont="1" applyFill="1" applyBorder="1" applyAlignment="1" applyProtection="1">
      <alignment horizontal="right" vertical="center"/>
      <protection locked="0"/>
    </xf>
    <xf numFmtId="171" fontId="11" fillId="0" borderId="0" xfId="34" applyNumberFormat="1" applyFont="1" applyFill="1" applyBorder="1" applyAlignment="1" applyProtection="1">
      <alignment horizontal="right" vertical="center"/>
      <protection locked="0"/>
    </xf>
    <xf numFmtId="171" fontId="10" fillId="0" borderId="0" xfId="34" applyNumberFormat="1" applyFont="1" applyFill="1" applyBorder="1" applyAlignment="1" applyProtection="1">
      <alignment horizontal="right" vertical="center"/>
      <protection locked="0"/>
    </xf>
    <xf numFmtId="9" fontId="31" fillId="0" borderId="0" xfId="33" applyProtection="1">
      <protection locked="0"/>
    </xf>
    <xf numFmtId="3" fontId="63" fillId="0" borderId="0" xfId="34" applyNumberFormat="1" applyFont="1" applyFill="1" applyBorder="1" applyAlignment="1" applyProtection="1">
      <alignment horizontal="right" vertical="center"/>
      <protection locked="0"/>
    </xf>
    <xf numFmtId="0" fontId="8" fillId="0" borderId="0" xfId="35" applyFont="1" applyBorder="1" applyAlignment="1">
      <alignment vertical="center"/>
      <protection locked="0"/>
    </xf>
    <xf numFmtId="0" fontId="7" fillId="0" borderId="0" xfId="35" applyFont="1" applyBorder="1" applyAlignment="1">
      <protection locked="0"/>
    </xf>
    <xf numFmtId="0" fontId="68" fillId="0" borderId="59" xfId="35" applyBorder="1">
      <protection locked="0"/>
    </xf>
    <xf numFmtId="0" fontId="68" fillId="0" borderId="0" xfId="35" applyBorder="1">
      <protection locked="0"/>
    </xf>
    <xf numFmtId="0" fontId="5" fillId="0" borderId="56" xfId="35" applyFont="1" applyBorder="1" applyAlignment="1">
      <protection locked="0"/>
    </xf>
    <xf numFmtId="0" fontId="69" fillId="0" borderId="0" xfId="2" applyFont="1"/>
    <xf numFmtId="9" fontId="25" fillId="8" borderId="0" xfId="4" applyFont="1" applyFill="1" applyAlignment="1">
      <alignment horizontal="left"/>
    </xf>
    <xf numFmtId="9" fontId="26" fillId="8" borderId="0" xfId="4" applyFont="1" applyFill="1" applyAlignment="1" applyProtection="1">
      <alignment horizontal="left"/>
      <protection locked="0"/>
    </xf>
    <xf numFmtId="1" fontId="31" fillId="0" borderId="0" xfId="33" applyNumberFormat="1" applyProtection="1">
      <protection locked="0"/>
    </xf>
    <xf numFmtId="1" fontId="13" fillId="0" borderId="0" xfId="2" applyNumberFormat="1"/>
    <xf numFmtId="0" fontId="31" fillId="0" borderId="58" xfId="35" applyFont="1" applyBorder="1">
      <protection locked="0"/>
    </xf>
    <xf numFmtId="0" fontId="17" fillId="0" borderId="0" xfId="2" applyFont="1" applyFill="1" applyBorder="1" applyAlignment="1">
      <alignment vertical="center"/>
    </xf>
    <xf numFmtId="9" fontId="13" fillId="0" borderId="0" xfId="4" applyFont="1" applyFill="1" applyBorder="1"/>
    <xf numFmtId="9" fontId="31" fillId="0" borderId="0" xfId="4" applyFill="1" applyBorder="1" applyProtection="1">
      <protection locked="0"/>
    </xf>
    <xf numFmtId="9" fontId="21" fillId="0" borderId="0" xfId="4" applyFont="1" applyFill="1"/>
    <xf numFmtId="9" fontId="16" fillId="0" borderId="0" xfId="4" applyFont="1" applyFill="1"/>
    <xf numFmtId="1" fontId="27" fillId="7" borderId="16" xfId="2" applyNumberFormat="1" applyFont="1" applyFill="1" applyBorder="1" applyAlignment="1">
      <alignment horizontal="center" vertical="center"/>
    </xf>
    <xf numFmtId="3" fontId="4" fillId="3" borderId="0" xfId="0" applyNumberFormat="1" applyFont="1" applyFill="1" applyBorder="1" applyAlignment="1">
      <alignment horizontal="right" vertical="center"/>
      <protection locked="0"/>
    </xf>
    <xf numFmtId="0" fontId="17" fillId="0" borderId="0" xfId="2" applyFont="1"/>
    <xf numFmtId="171" fontId="73" fillId="0" borderId="0" xfId="30" applyNumberFormat="1" applyFont="1" applyFill="1" applyBorder="1" applyAlignment="1" applyProtection="1">
      <alignment horizontal="right" vertical="center"/>
      <protection locked="0"/>
    </xf>
    <xf numFmtId="164" fontId="17" fillId="0" borderId="0" xfId="2" applyNumberFormat="1" applyFont="1"/>
    <xf numFmtId="0" fontId="13" fillId="0" borderId="0" xfId="2" applyFont="1" applyFill="1" applyBorder="1" applyAlignment="1">
      <alignment horizontal="left" vertical="center"/>
    </xf>
    <xf numFmtId="3" fontId="57" fillId="20" borderId="47" xfId="31" applyNumberFormat="1" applyFont="1" applyFill="1" applyBorder="1">
      <protection locked="0"/>
    </xf>
    <xf numFmtId="3" fontId="56" fillId="20" borderId="47" xfId="31" applyNumberFormat="1" applyFont="1" applyFill="1" applyBorder="1">
      <protection locked="0"/>
    </xf>
    <xf numFmtId="0" fontId="58" fillId="20" borderId="68" xfId="35" applyFont="1" applyFill="1" applyBorder="1" applyAlignment="1">
      <alignment vertical="center" wrapText="1"/>
      <protection locked="0"/>
    </xf>
    <xf numFmtId="0" fontId="58" fillId="20" borderId="73" xfId="35" applyFont="1" applyFill="1" applyBorder="1" applyAlignment="1">
      <alignment vertical="center" wrapText="1"/>
      <protection locked="0"/>
    </xf>
    <xf numFmtId="0" fontId="5" fillId="0" borderId="81" xfId="35" applyFont="1" applyBorder="1" applyAlignment="1">
      <protection locked="0"/>
    </xf>
    <xf numFmtId="0" fontId="7" fillId="0" borderId="82" xfId="35" applyFont="1" applyBorder="1" applyAlignment="1">
      <protection locked="0"/>
    </xf>
    <xf numFmtId="0" fontId="17" fillId="0" borderId="82" xfId="2" applyFont="1" applyFill="1" applyBorder="1" applyAlignment="1"/>
    <xf numFmtId="0" fontId="13" fillId="0" borderId="82" xfId="2" applyFill="1" applyBorder="1"/>
    <xf numFmtId="0" fontId="13" fillId="0" borderId="83" xfId="2" applyFill="1" applyBorder="1"/>
    <xf numFmtId="0" fontId="13" fillId="0" borderId="85" xfId="2" applyFill="1" applyBorder="1"/>
    <xf numFmtId="0" fontId="56" fillId="0" borderId="84" xfId="35" applyFont="1" applyBorder="1" applyAlignment="1">
      <protection locked="0"/>
    </xf>
    <xf numFmtId="0" fontId="57" fillId="0" borderId="86" xfId="35" applyFont="1" applyBorder="1" applyAlignment="1">
      <protection locked="0"/>
    </xf>
    <xf numFmtId="0" fontId="7" fillId="0" borderId="87" xfId="35" applyFont="1" applyBorder="1" applyAlignment="1">
      <protection locked="0"/>
    </xf>
    <xf numFmtId="0" fontId="13" fillId="0" borderId="87" xfId="2" applyFont="1" applyFill="1" applyBorder="1" applyAlignment="1"/>
    <xf numFmtId="0" fontId="13" fillId="0" borderId="87" xfId="2" applyFill="1" applyBorder="1"/>
    <xf numFmtId="0" fontId="13" fillId="0" borderId="88" xfId="2" applyFill="1" applyBorder="1"/>
    <xf numFmtId="3" fontId="63" fillId="24" borderId="91" xfId="35" applyNumberFormat="1" applyFont="1" applyFill="1" applyBorder="1" applyAlignment="1">
      <alignment horizontal="right" vertical="center"/>
      <protection locked="0"/>
    </xf>
    <xf numFmtId="3" fontId="63" fillId="21" borderId="89" xfId="34" applyNumberFormat="1" applyFont="1" applyFill="1" applyBorder="1" applyAlignment="1" applyProtection="1">
      <alignment horizontal="right" vertical="center"/>
      <protection locked="0"/>
    </xf>
    <xf numFmtId="3" fontId="63" fillId="20" borderId="89" xfId="34" applyNumberFormat="1" applyFont="1" applyFill="1" applyBorder="1" applyAlignment="1" applyProtection="1">
      <alignment horizontal="right" vertical="center"/>
      <protection locked="0"/>
    </xf>
    <xf numFmtId="3" fontId="64" fillId="24" borderId="91" xfId="35" applyNumberFormat="1" applyFont="1" applyFill="1" applyBorder="1" applyAlignment="1">
      <alignment horizontal="right" vertical="center"/>
      <protection locked="0"/>
    </xf>
    <xf numFmtId="0" fontId="4" fillId="20" borderId="69" xfId="35" applyFont="1" applyFill="1" applyBorder="1" applyAlignment="1">
      <alignment vertical="center"/>
      <protection locked="0"/>
    </xf>
    <xf numFmtId="3" fontId="63" fillId="24" borderId="99" xfId="35" applyNumberFormat="1" applyFont="1" applyFill="1" applyBorder="1" applyAlignment="1">
      <alignment horizontal="right" vertical="center"/>
      <protection locked="0"/>
    </xf>
    <xf numFmtId="3" fontId="63" fillId="24" borderId="100" xfId="35" applyNumberFormat="1" applyFont="1" applyFill="1" applyBorder="1" applyAlignment="1">
      <alignment horizontal="right" vertical="center"/>
      <protection locked="0"/>
    </xf>
    <xf numFmtId="3" fontId="63" fillId="21" borderId="95" xfId="34" applyNumberFormat="1" applyFont="1" applyFill="1" applyBorder="1" applyAlignment="1" applyProtection="1">
      <alignment horizontal="right" vertical="center"/>
      <protection locked="0"/>
    </xf>
    <xf numFmtId="3" fontId="63" fillId="21" borderId="96" xfId="34" applyNumberFormat="1" applyFont="1" applyFill="1" applyBorder="1" applyAlignment="1" applyProtection="1">
      <alignment horizontal="right" vertical="center"/>
      <protection locked="0"/>
    </xf>
    <xf numFmtId="3" fontId="63" fillId="20" borderId="95" xfId="34" applyNumberFormat="1" applyFont="1" applyFill="1" applyBorder="1" applyAlignment="1" applyProtection="1">
      <alignment horizontal="right" vertical="center"/>
      <protection locked="0"/>
    </xf>
    <xf numFmtId="3" fontId="63" fillId="20" borderId="96" xfId="34" applyNumberFormat="1" applyFont="1" applyFill="1" applyBorder="1" applyAlignment="1" applyProtection="1">
      <alignment horizontal="right" vertical="center"/>
      <protection locked="0"/>
    </xf>
    <xf numFmtId="3" fontId="64" fillId="24" borderId="99" xfId="35" applyNumberFormat="1" applyFont="1" applyFill="1" applyBorder="1" applyAlignment="1">
      <alignment horizontal="right" vertical="center"/>
      <protection locked="0"/>
    </xf>
    <xf numFmtId="3" fontId="64" fillId="24" borderId="100" xfId="35" applyNumberFormat="1" applyFont="1" applyFill="1" applyBorder="1" applyAlignment="1">
      <alignment horizontal="right" vertical="center"/>
      <protection locked="0"/>
    </xf>
    <xf numFmtId="0" fontId="61" fillId="0" borderId="106" xfId="35" applyFont="1" applyBorder="1" applyAlignment="1">
      <alignment horizontal="left" vertical="center" wrapText="1"/>
      <protection locked="0"/>
    </xf>
    <xf numFmtId="0" fontId="58" fillId="0" borderId="81" xfId="35" applyFont="1" applyBorder="1" applyAlignment="1">
      <alignment horizontal="center" vertical="center" wrapText="1"/>
      <protection locked="0"/>
    </xf>
    <xf numFmtId="0" fontId="58" fillId="0" borderId="108" xfId="35" applyFont="1" applyBorder="1" applyAlignment="1">
      <alignment horizontal="center" vertical="center" wrapText="1"/>
      <protection locked="0"/>
    </xf>
    <xf numFmtId="0" fontId="58" fillId="0" borderId="109" xfId="35" applyFont="1" applyBorder="1" applyAlignment="1">
      <alignment horizontal="center" vertical="center" wrapText="1"/>
      <protection locked="0"/>
    </xf>
    <xf numFmtId="0" fontId="4" fillId="3" borderId="120" xfId="35" applyFont="1" applyFill="1" applyBorder="1" applyAlignment="1">
      <alignment vertical="center"/>
      <protection locked="0"/>
    </xf>
    <xf numFmtId="3" fontId="63" fillId="3" borderId="121" xfId="35" applyNumberFormat="1" applyFont="1" applyFill="1" applyBorder="1" applyAlignment="1">
      <alignment horizontal="right" vertical="center"/>
      <protection locked="0"/>
    </xf>
    <xf numFmtId="3" fontId="63" fillId="3" borderId="122" xfId="35" applyNumberFormat="1" applyFont="1" applyFill="1" applyBorder="1" applyAlignment="1">
      <alignment horizontal="right" vertical="center"/>
      <protection locked="0"/>
    </xf>
    <xf numFmtId="0" fontId="58" fillId="0" borderId="110" xfId="35" applyFont="1" applyBorder="1" applyAlignment="1">
      <alignment horizontal="center" vertical="center" wrapText="1"/>
      <protection locked="0"/>
    </xf>
    <xf numFmtId="3" fontId="63" fillId="3" borderId="123" xfId="35" applyNumberFormat="1" applyFont="1" applyFill="1" applyBorder="1" applyAlignment="1">
      <alignment horizontal="right" vertical="center"/>
      <protection locked="0"/>
    </xf>
    <xf numFmtId="0" fontId="4" fillId="3" borderId="72" xfId="35" applyFont="1" applyFill="1" applyBorder="1" applyAlignment="1">
      <alignment vertical="center"/>
      <protection locked="0"/>
    </xf>
    <xf numFmtId="0" fontId="4" fillId="3" borderId="80" xfId="35" applyFont="1" applyFill="1" applyBorder="1" applyAlignment="1">
      <alignment vertical="center"/>
      <protection locked="0"/>
    </xf>
    <xf numFmtId="0" fontId="78" fillId="22" borderId="0" xfId="32" applyFont="1" applyFill="1">
      <protection locked="0"/>
    </xf>
    <xf numFmtId="3" fontId="4" fillId="23" borderId="135" xfId="0" applyNumberFormat="1" applyFont="1" applyFill="1" applyBorder="1" applyAlignment="1">
      <alignment horizontal="right" vertical="center"/>
      <protection locked="0"/>
    </xf>
    <xf numFmtId="3" fontId="72" fillId="23" borderId="135" xfId="0" applyNumberFormat="1" applyFont="1" applyFill="1" applyBorder="1" applyAlignment="1">
      <alignment horizontal="right" vertical="center"/>
      <protection locked="0"/>
    </xf>
    <xf numFmtId="9" fontId="4" fillId="19" borderId="135" xfId="4" applyFont="1" applyFill="1" applyBorder="1"/>
    <xf numFmtId="9" fontId="4" fillId="19" borderId="122" xfId="4" applyFont="1" applyFill="1" applyBorder="1"/>
    <xf numFmtId="0" fontId="5" fillId="0" borderId="81" xfId="0" applyFont="1" applyBorder="1" applyAlignment="1">
      <protection locked="0"/>
    </xf>
    <xf numFmtId="0" fontId="7" fillId="0" borderId="82" xfId="0" applyFont="1" applyBorder="1" applyAlignment="1">
      <protection locked="0"/>
    </xf>
    <xf numFmtId="0" fontId="17" fillId="0" borderId="83" xfId="2" applyFont="1" applyFill="1" applyBorder="1"/>
    <xf numFmtId="0" fontId="17" fillId="0" borderId="85" xfId="2" applyFont="1" applyFill="1" applyBorder="1"/>
    <xf numFmtId="0" fontId="56" fillId="0" borderId="84" xfId="0" applyFont="1" applyBorder="1" applyAlignment="1">
      <protection locked="0"/>
    </xf>
    <xf numFmtId="0" fontId="57" fillId="0" borderId="86" xfId="0" applyFont="1" applyBorder="1" applyAlignment="1">
      <protection locked="0"/>
    </xf>
    <xf numFmtId="0" fontId="7" fillId="0" borderId="87" xfId="0" applyFont="1" applyBorder="1" applyAlignment="1">
      <protection locked="0"/>
    </xf>
    <xf numFmtId="0" fontId="17" fillId="0" borderId="88" xfId="2" applyFont="1" applyFill="1" applyBorder="1"/>
    <xf numFmtId="3" fontId="4" fillId="3" borderId="90" xfId="0" applyNumberFormat="1" applyFont="1" applyFill="1" applyBorder="1" applyAlignment="1">
      <alignment horizontal="right" vertical="center"/>
      <protection locked="0"/>
    </xf>
    <xf numFmtId="3" fontId="72" fillId="3" borderId="90" xfId="0" applyNumberFormat="1" applyFont="1" applyFill="1" applyBorder="1" applyAlignment="1">
      <alignment horizontal="right" vertical="center"/>
      <protection locked="0"/>
    </xf>
    <xf numFmtId="0" fontId="58" fillId="0" borderId="136" xfId="0" applyFont="1" applyBorder="1" applyAlignment="1">
      <alignment horizontal="center" vertical="center" wrapText="1"/>
      <protection locked="0"/>
    </xf>
    <xf numFmtId="0" fontId="58" fillId="0" borderId="89" xfId="0" applyFont="1" applyBorder="1" applyAlignment="1">
      <alignment horizontal="center" vertical="center" wrapText="1"/>
      <protection locked="0"/>
    </xf>
    <xf numFmtId="0" fontId="58" fillId="0" borderId="96" xfId="0" applyFont="1" applyBorder="1" applyAlignment="1">
      <alignment horizontal="center" vertical="center" wrapText="1"/>
      <protection locked="0"/>
    </xf>
    <xf numFmtId="3" fontId="4" fillId="3" borderId="98" xfId="0" applyNumberFormat="1" applyFont="1" applyFill="1" applyBorder="1" applyAlignment="1">
      <alignment horizontal="right" vertical="center"/>
      <protection locked="0"/>
    </xf>
    <xf numFmtId="3" fontId="4" fillId="23" borderId="138" xfId="0" applyNumberFormat="1" applyFont="1" applyFill="1" applyBorder="1" applyAlignment="1">
      <alignment horizontal="right" vertical="center"/>
      <protection locked="0"/>
    </xf>
    <xf numFmtId="9" fontId="4" fillId="19" borderId="138" xfId="4" applyFont="1" applyFill="1" applyBorder="1"/>
    <xf numFmtId="9" fontId="4" fillId="19" borderId="123" xfId="4" applyFont="1" applyFill="1" applyBorder="1"/>
    <xf numFmtId="3" fontId="66" fillId="0" borderId="0" xfId="34" applyNumberFormat="1" applyFont="1" applyFill="1" applyBorder="1" applyAlignment="1" applyProtection="1">
      <alignment horizontal="right" vertical="center"/>
      <protection locked="0"/>
    </xf>
    <xf numFmtId="3" fontId="71" fillId="0" borderId="0" xfId="34" applyNumberFormat="1" applyFont="1" applyFill="1" applyBorder="1" applyAlignment="1" applyProtection="1">
      <alignment horizontal="right" vertical="center"/>
      <protection locked="0"/>
    </xf>
    <xf numFmtId="3" fontId="72" fillId="3" borderId="97" xfId="0" applyNumberFormat="1" applyFont="1" applyFill="1" applyBorder="1" applyAlignment="1">
      <alignment horizontal="right" vertical="center"/>
      <protection locked="0"/>
    </xf>
    <xf numFmtId="3" fontId="72" fillId="23" borderId="137" xfId="0" applyNumberFormat="1" applyFont="1" applyFill="1" applyBorder="1" applyAlignment="1">
      <alignment horizontal="right" vertical="center"/>
      <protection locked="0"/>
    </xf>
    <xf numFmtId="9" fontId="4" fillId="19" borderId="137" xfId="4" applyFont="1" applyFill="1" applyBorder="1"/>
    <xf numFmtId="9" fontId="4" fillId="19" borderId="121" xfId="4" applyFont="1" applyFill="1" applyBorder="1"/>
    <xf numFmtId="0" fontId="62" fillId="0" borderId="0" xfId="35" applyFont="1" applyFill="1" applyBorder="1" applyAlignment="1">
      <alignment horizontal="center" vertical="center" wrapText="1"/>
      <protection locked="0"/>
    </xf>
    <xf numFmtId="3" fontId="65" fillId="0" borderId="0" xfId="35" applyNumberFormat="1" applyFont="1" applyFill="1" applyBorder="1" applyAlignment="1">
      <alignment horizontal="right" vertical="center"/>
      <protection locked="0"/>
    </xf>
    <xf numFmtId="3" fontId="66" fillId="0" borderId="0" xfId="35" applyNumberFormat="1" applyFont="1" applyFill="1" applyBorder="1" applyAlignment="1">
      <alignment horizontal="right" vertical="center"/>
      <protection locked="0"/>
    </xf>
    <xf numFmtId="3" fontId="70" fillId="0" borderId="0" xfId="34" applyNumberFormat="1" applyFont="1" applyFill="1" applyBorder="1" applyAlignment="1" applyProtection="1">
      <alignment horizontal="right" vertical="center"/>
      <protection locked="0"/>
    </xf>
    <xf numFmtId="3" fontId="65" fillId="0" borderId="0" xfId="34" applyNumberFormat="1" applyFont="1" applyFill="1" applyBorder="1" applyAlignment="1" applyProtection="1">
      <alignment horizontal="right" vertical="center"/>
      <protection locked="0"/>
    </xf>
    <xf numFmtId="1" fontId="4" fillId="0" borderId="0" xfId="35" applyNumberFormat="1" applyFont="1" applyFill="1" applyBorder="1" applyAlignment="1">
      <alignment vertical="center"/>
      <protection locked="0"/>
    </xf>
    <xf numFmtId="3" fontId="72" fillId="3" borderId="60" xfId="0" applyNumberFormat="1" applyFont="1" applyFill="1" applyBorder="1" applyAlignment="1">
      <alignment horizontal="right" vertical="center"/>
      <protection locked="0"/>
    </xf>
    <xf numFmtId="3" fontId="72" fillId="23" borderId="140" xfId="0" applyNumberFormat="1" applyFont="1" applyFill="1" applyBorder="1" applyAlignment="1">
      <alignment horizontal="right" vertical="center"/>
      <protection locked="0"/>
    </xf>
    <xf numFmtId="9" fontId="4" fillId="19" borderId="140" xfId="4" applyFont="1" applyFill="1" applyBorder="1"/>
    <xf numFmtId="9" fontId="4" fillId="19" borderId="141" xfId="4" applyFont="1" applyFill="1" applyBorder="1"/>
    <xf numFmtId="0" fontId="62" fillId="0" borderId="66" xfId="0" applyFont="1" applyBorder="1" applyAlignment="1">
      <alignment horizontal="center" vertical="center" wrapText="1"/>
      <protection locked="0"/>
    </xf>
    <xf numFmtId="3" fontId="62" fillId="3" borderId="144" xfId="0" applyNumberFormat="1" applyFont="1" applyFill="1" applyBorder="1" applyAlignment="1">
      <alignment horizontal="right" vertical="center"/>
      <protection locked="0"/>
    </xf>
    <xf numFmtId="3" fontId="62" fillId="23" borderId="145" xfId="0" applyNumberFormat="1" applyFont="1" applyFill="1" applyBorder="1" applyAlignment="1">
      <alignment horizontal="right" vertical="center"/>
      <protection locked="0"/>
    </xf>
    <xf numFmtId="9" fontId="58" fillId="19" borderId="145" xfId="4" applyFont="1" applyFill="1" applyBorder="1"/>
    <xf numFmtId="9" fontId="58" fillId="19" borderId="146" xfId="4" applyFont="1" applyFill="1" applyBorder="1"/>
    <xf numFmtId="0" fontId="4" fillId="3" borderId="60" xfId="0" applyFont="1" applyFill="1" applyBorder="1" applyAlignment="1">
      <alignment vertical="center"/>
      <protection locked="0"/>
    </xf>
    <xf numFmtId="0" fontId="4" fillId="23" borderId="140" xfId="0" applyFont="1" applyFill="1" applyBorder="1" applyAlignment="1">
      <alignment horizontal="left" vertical="center"/>
      <protection locked="0"/>
    </xf>
    <xf numFmtId="0" fontId="4" fillId="23" borderId="140" xfId="0" applyFont="1" applyFill="1" applyBorder="1" applyAlignment="1">
      <alignment vertical="center"/>
      <protection locked="0"/>
    </xf>
    <xf numFmtId="0" fontId="4" fillId="18" borderId="140" xfId="0" applyFont="1" applyFill="1" applyBorder="1" applyAlignment="1">
      <alignment vertical="center"/>
      <protection locked="0"/>
    </xf>
    <xf numFmtId="0" fontId="4" fillId="18" borderId="141" xfId="0" applyFont="1" applyFill="1" applyBorder="1" applyAlignment="1">
      <alignment vertical="center"/>
      <protection locked="0"/>
    </xf>
    <xf numFmtId="0" fontId="4" fillId="3" borderId="142" xfId="0" applyFont="1" applyFill="1" applyBorder="1" applyAlignment="1">
      <alignment vertical="center"/>
      <protection locked="0"/>
    </xf>
    <xf numFmtId="0" fontId="4" fillId="18" borderId="143" xfId="0" applyFont="1" applyFill="1" applyBorder="1" applyAlignment="1">
      <alignment vertical="center"/>
      <protection locked="0"/>
    </xf>
    <xf numFmtId="3" fontId="4" fillId="23" borderId="137" xfId="0" applyNumberFormat="1" applyFont="1" applyFill="1" applyBorder="1" applyAlignment="1">
      <alignment horizontal="right" vertical="center"/>
      <protection locked="0"/>
    </xf>
    <xf numFmtId="0" fontId="58" fillId="0" borderId="95" xfId="0" applyFont="1" applyBorder="1" applyAlignment="1">
      <alignment horizontal="center" vertical="center" wrapText="1"/>
      <protection locked="0"/>
    </xf>
    <xf numFmtId="3" fontId="4" fillId="3" borderId="97" xfId="0" applyNumberFormat="1" applyFont="1" applyFill="1" applyBorder="1" applyAlignment="1">
      <alignment horizontal="right" vertical="center"/>
      <protection locked="0"/>
    </xf>
    <xf numFmtId="9" fontId="4" fillId="25" borderId="137" xfId="4" applyFont="1" applyFill="1" applyBorder="1"/>
    <xf numFmtId="9" fontId="4" fillId="25" borderId="135" xfId="4" applyFont="1" applyFill="1" applyBorder="1"/>
    <xf numFmtId="9" fontId="4" fillId="25" borderId="138" xfId="4" applyFont="1" applyFill="1" applyBorder="1"/>
    <xf numFmtId="9" fontId="4" fillId="25" borderId="140" xfId="4" applyFont="1" applyFill="1" applyBorder="1"/>
    <xf numFmtId="9" fontId="58" fillId="25" borderId="145" xfId="4" applyFont="1" applyFill="1" applyBorder="1"/>
    <xf numFmtId="0" fontId="58" fillId="0" borderId="68" xfId="0" applyFont="1" applyBorder="1" applyAlignment="1">
      <alignment horizontal="center" vertical="center" wrapText="1"/>
      <protection locked="0"/>
    </xf>
    <xf numFmtId="0" fontId="58" fillId="3" borderId="96" xfId="0" applyFont="1" applyFill="1" applyBorder="1" applyAlignment="1">
      <alignment vertical="center"/>
      <protection locked="0"/>
    </xf>
    <xf numFmtId="3" fontId="63" fillId="26" borderId="97" xfId="35" applyNumberFormat="1" applyFont="1" applyFill="1" applyBorder="1" applyAlignment="1">
      <alignment horizontal="right" vertical="center"/>
      <protection locked="0"/>
    </xf>
    <xf numFmtId="3" fontId="63" fillId="26" borderId="90" xfId="35" applyNumberFormat="1" applyFont="1" applyFill="1" applyBorder="1" applyAlignment="1">
      <alignment horizontal="right" vertical="center"/>
      <protection locked="0"/>
    </xf>
    <xf numFmtId="3" fontId="63" fillId="26" borderId="98" xfId="35" applyNumberFormat="1" applyFont="1" applyFill="1" applyBorder="1" applyAlignment="1">
      <alignment horizontal="right" vertical="center"/>
      <protection locked="0"/>
    </xf>
    <xf numFmtId="0" fontId="4" fillId="27" borderId="112" xfId="35" applyFont="1" applyFill="1" applyBorder="1" applyAlignment="1">
      <alignment vertical="center"/>
      <protection locked="0"/>
    </xf>
    <xf numFmtId="3" fontId="63" fillId="26" borderId="113" xfId="35" applyNumberFormat="1" applyFont="1" applyFill="1" applyBorder="1" applyAlignment="1">
      <alignment horizontal="right" vertical="center"/>
      <protection locked="0"/>
    </xf>
    <xf numFmtId="3" fontId="63" fillId="26" borderId="114" xfId="35" applyNumberFormat="1" applyFont="1" applyFill="1" applyBorder="1" applyAlignment="1">
      <alignment horizontal="right" vertical="center"/>
      <protection locked="0"/>
    </xf>
    <xf numFmtId="3" fontId="63" fillId="26" borderId="115" xfId="35" applyNumberFormat="1" applyFont="1" applyFill="1" applyBorder="1" applyAlignment="1">
      <alignment horizontal="right" vertical="center"/>
      <protection locked="0"/>
    </xf>
    <xf numFmtId="0" fontId="4" fillId="27" borderId="63" xfId="35" applyFont="1" applyFill="1" applyBorder="1" applyAlignment="1">
      <alignment vertical="center"/>
      <protection locked="0"/>
    </xf>
    <xf numFmtId="0" fontId="4" fillId="27" borderId="130" xfId="35" applyFont="1" applyFill="1" applyBorder="1" applyAlignment="1">
      <alignment vertical="center"/>
      <protection locked="0"/>
    </xf>
    <xf numFmtId="3" fontId="63" fillId="26" borderId="103" xfId="35" applyNumberFormat="1" applyFont="1" applyFill="1" applyBorder="1" applyAlignment="1">
      <alignment horizontal="right" vertical="center"/>
      <protection locked="0"/>
    </xf>
    <xf numFmtId="3" fontId="63" fillId="26" borderId="93" xfId="35" applyNumberFormat="1" applyFont="1" applyFill="1" applyBorder="1" applyAlignment="1">
      <alignment horizontal="right" vertical="center"/>
      <protection locked="0"/>
    </xf>
    <xf numFmtId="3" fontId="63" fillId="26" borderId="104" xfId="35" applyNumberFormat="1" applyFont="1" applyFill="1" applyBorder="1" applyAlignment="1">
      <alignment horizontal="right" vertical="center"/>
      <protection locked="0"/>
    </xf>
    <xf numFmtId="0" fontId="75" fillId="0" borderId="84" xfId="0" applyFont="1" applyBorder="1" applyAlignment="1">
      <protection locked="0"/>
    </xf>
    <xf numFmtId="0" fontId="75" fillId="0" borderId="84" xfId="35" applyFont="1" applyBorder="1" applyAlignment="1">
      <protection locked="0"/>
    </xf>
    <xf numFmtId="0" fontId="75" fillId="0" borderId="82" xfId="35" applyFont="1" applyBorder="1" applyAlignment="1">
      <protection locked="0"/>
    </xf>
    <xf numFmtId="9" fontId="4" fillId="25" borderId="0" xfId="4" applyFont="1" applyFill="1" applyBorder="1"/>
    <xf numFmtId="3" fontId="4" fillId="28" borderId="0" xfId="0" applyNumberFormat="1" applyFont="1" applyFill="1" applyBorder="1" applyAlignment="1">
      <alignment horizontal="right" vertical="center"/>
      <protection locked="0"/>
    </xf>
    <xf numFmtId="0" fontId="58" fillId="28" borderId="96" xfId="0" applyFont="1" applyFill="1" applyBorder="1" applyAlignment="1">
      <alignment vertical="center"/>
      <protection locked="0"/>
    </xf>
    <xf numFmtId="0" fontId="4" fillId="28" borderId="60" xfId="0" applyFont="1" applyFill="1" applyBorder="1" applyAlignment="1">
      <alignment vertical="center"/>
      <protection locked="0"/>
    </xf>
    <xf numFmtId="3" fontId="4" fillId="28" borderId="103" xfId="0" applyNumberFormat="1" applyFont="1" applyFill="1" applyBorder="1" applyAlignment="1">
      <alignment horizontal="right" vertical="center"/>
      <protection locked="0"/>
    </xf>
    <xf numFmtId="3" fontId="4" fillId="28" borderId="93" xfId="0" applyNumberFormat="1" applyFont="1" applyFill="1" applyBorder="1" applyAlignment="1">
      <alignment horizontal="right" vertical="center"/>
      <protection locked="0"/>
    </xf>
    <xf numFmtId="3" fontId="4" fillId="28" borderId="104" xfId="0" applyNumberFormat="1" applyFont="1" applyFill="1" applyBorder="1" applyAlignment="1">
      <alignment horizontal="right" vertical="center"/>
      <protection locked="0"/>
    </xf>
    <xf numFmtId="3" fontId="72" fillId="28" borderId="97" xfId="0" applyNumberFormat="1" applyFont="1" applyFill="1" applyBorder="1" applyAlignment="1">
      <alignment horizontal="right" vertical="center"/>
      <protection locked="0"/>
    </xf>
    <xf numFmtId="3" fontId="72" fillId="28" borderId="90" xfId="0" applyNumberFormat="1" applyFont="1" applyFill="1" applyBorder="1" applyAlignment="1">
      <alignment horizontal="right" vertical="center"/>
      <protection locked="0"/>
    </xf>
    <xf numFmtId="3" fontId="72" fillId="28" borderId="60" xfId="0" applyNumberFormat="1" applyFont="1" applyFill="1" applyBorder="1" applyAlignment="1">
      <alignment horizontal="right" vertical="center"/>
      <protection locked="0"/>
    </xf>
    <xf numFmtId="3" fontId="62" fillId="28" borderId="144" xfId="0" applyNumberFormat="1" applyFont="1" applyFill="1" applyBorder="1" applyAlignment="1">
      <alignment horizontal="right" vertical="center"/>
      <protection locked="0"/>
    </xf>
    <xf numFmtId="0" fontId="4" fillId="28" borderId="142" xfId="0" applyFont="1" applyFill="1" applyBorder="1" applyAlignment="1">
      <alignment vertical="center"/>
      <protection locked="0"/>
    </xf>
    <xf numFmtId="3" fontId="4" fillId="28" borderId="113" xfId="0" applyNumberFormat="1" applyFont="1" applyFill="1" applyBorder="1" applyAlignment="1">
      <alignment horizontal="right" vertical="center"/>
      <protection locked="0"/>
    </xf>
    <xf numFmtId="3" fontId="4" fillId="28" borderId="114" xfId="0" applyNumberFormat="1" applyFont="1" applyFill="1" applyBorder="1" applyAlignment="1">
      <alignment horizontal="right" vertical="center"/>
      <protection locked="0"/>
    </xf>
    <xf numFmtId="3" fontId="4" fillId="28" borderId="115" xfId="0" applyNumberFormat="1" applyFont="1" applyFill="1" applyBorder="1" applyAlignment="1">
      <alignment horizontal="right" vertical="center"/>
      <protection locked="0"/>
    </xf>
    <xf numFmtId="3" fontId="72" fillId="28" borderId="113" xfId="0" applyNumberFormat="1" applyFont="1" applyFill="1" applyBorder="1" applyAlignment="1">
      <alignment horizontal="right" vertical="center"/>
      <protection locked="0"/>
    </xf>
    <xf numFmtId="3" fontId="72" fillId="28" borderId="114" xfId="0" applyNumberFormat="1" applyFont="1" applyFill="1" applyBorder="1" applyAlignment="1">
      <alignment horizontal="right" vertical="center"/>
      <protection locked="0"/>
    </xf>
    <xf numFmtId="3" fontId="72" fillId="28" borderId="142" xfId="0" applyNumberFormat="1" applyFont="1" applyFill="1" applyBorder="1" applyAlignment="1">
      <alignment horizontal="right" vertical="center"/>
      <protection locked="0"/>
    </xf>
    <xf numFmtId="9" fontId="4" fillId="19" borderId="101" xfId="4" applyFont="1" applyFill="1" applyBorder="1"/>
    <xf numFmtId="9" fontId="4" fillId="19" borderId="92" xfId="4" applyFont="1" applyFill="1" applyBorder="1"/>
    <xf numFmtId="9" fontId="4" fillId="19" borderId="102" xfId="4" applyFont="1" applyFill="1" applyBorder="1"/>
    <xf numFmtId="9" fontId="4" fillId="19" borderId="56" xfId="4" applyFont="1" applyFill="1" applyBorder="1"/>
    <xf numFmtId="9" fontId="4" fillId="25" borderId="113" xfId="4" applyFont="1" applyFill="1" applyBorder="1"/>
    <xf numFmtId="9" fontId="4" fillId="25" borderId="114" xfId="4" applyFont="1" applyFill="1" applyBorder="1"/>
    <xf numFmtId="9" fontId="4" fillId="25" borderId="115" xfId="4" applyFont="1" applyFill="1" applyBorder="1"/>
    <xf numFmtId="9" fontId="4" fillId="25" borderId="142" xfId="4" applyFont="1" applyFill="1" applyBorder="1"/>
    <xf numFmtId="9" fontId="58" fillId="25" borderId="147" xfId="4" applyFont="1" applyFill="1" applyBorder="1"/>
    <xf numFmtId="9" fontId="4" fillId="25" borderId="121" xfId="4" applyFont="1" applyFill="1" applyBorder="1"/>
    <xf numFmtId="9" fontId="4" fillId="25" borderId="122" xfId="4" applyFont="1" applyFill="1" applyBorder="1"/>
    <xf numFmtId="9" fontId="4" fillId="25" borderId="123" xfId="4" applyFont="1" applyFill="1" applyBorder="1"/>
    <xf numFmtId="9" fontId="4" fillId="25" borderId="141" xfId="4" applyFont="1" applyFill="1" applyBorder="1"/>
    <xf numFmtId="9" fontId="58" fillId="25" borderId="146" xfId="4" applyFont="1" applyFill="1" applyBorder="1"/>
    <xf numFmtId="0" fontId="79" fillId="0" borderId="0" xfId="2" applyFont="1"/>
    <xf numFmtId="0" fontId="81" fillId="0" borderId="149" xfId="31" applyFont="1" applyBorder="1" applyAlignment="1">
      <alignment horizontal="center" vertical="center" wrapText="1"/>
      <protection locked="0"/>
    </xf>
    <xf numFmtId="0" fontId="81" fillId="0" borderId="74" xfId="31" applyFont="1" applyBorder="1" applyAlignment="1">
      <alignment horizontal="center" vertical="center" wrapText="1"/>
      <protection locked="0"/>
    </xf>
    <xf numFmtId="3" fontId="83" fillId="26" borderId="64" xfId="35" applyNumberFormat="1" applyFont="1" applyFill="1" applyBorder="1" applyAlignment="1">
      <alignment horizontal="right" vertical="center"/>
      <protection locked="0"/>
    </xf>
    <xf numFmtId="9" fontId="82" fillId="26" borderId="67" xfId="35" applyNumberFormat="1" applyFont="1" applyFill="1" applyBorder="1" applyAlignment="1">
      <alignment horizontal="right" vertical="center"/>
      <protection locked="0"/>
    </xf>
    <xf numFmtId="9" fontId="82" fillId="26" borderId="63" xfId="35" applyNumberFormat="1" applyFont="1" applyFill="1" applyBorder="1" applyAlignment="1">
      <alignment horizontal="right" vertical="center"/>
      <protection locked="0"/>
    </xf>
    <xf numFmtId="9" fontId="82" fillId="26" borderId="76" xfId="33" applyNumberFormat="1" applyFont="1" applyFill="1" applyBorder="1" applyAlignment="1" applyProtection="1">
      <alignment horizontal="right" vertical="center"/>
      <protection locked="0"/>
    </xf>
    <xf numFmtId="3" fontId="84" fillId="24" borderId="65" xfId="35" applyNumberFormat="1" applyFont="1" applyFill="1" applyBorder="1" applyAlignment="1">
      <alignment horizontal="right" vertical="center"/>
      <protection locked="0"/>
    </xf>
    <xf numFmtId="1" fontId="84" fillId="24" borderId="65" xfId="35" applyNumberFormat="1" applyFont="1" applyFill="1" applyBorder="1" applyAlignment="1">
      <alignment horizontal="right" vertical="center"/>
      <protection locked="0"/>
    </xf>
    <xf numFmtId="1" fontId="84" fillId="24" borderId="148" xfId="35" applyNumberFormat="1" applyFont="1" applyFill="1" applyBorder="1" applyAlignment="1">
      <alignment horizontal="right" vertical="center"/>
      <protection locked="0"/>
    </xf>
    <xf numFmtId="1" fontId="84" fillId="24" borderId="77" xfId="35" applyNumberFormat="1" applyFont="1" applyFill="1" applyBorder="1" applyAlignment="1">
      <alignment horizontal="right" vertical="center"/>
      <protection locked="0"/>
    </xf>
    <xf numFmtId="3" fontId="84" fillId="21" borderId="70" xfId="34" applyNumberFormat="1" applyFont="1" applyFill="1" applyBorder="1" applyAlignment="1" applyProtection="1">
      <alignment horizontal="right" vertical="center"/>
      <protection locked="0"/>
    </xf>
    <xf numFmtId="9" fontId="84" fillId="21" borderId="69" xfId="33" applyFont="1" applyFill="1" applyBorder="1" applyAlignment="1" applyProtection="1">
      <alignment horizontal="right" vertical="center"/>
      <protection locked="0"/>
    </xf>
    <xf numFmtId="9" fontId="84" fillId="21" borderId="71" xfId="33" applyFont="1" applyFill="1" applyBorder="1" applyAlignment="1" applyProtection="1">
      <alignment horizontal="right" vertical="center"/>
      <protection locked="0"/>
    </xf>
    <xf numFmtId="3" fontId="84" fillId="20" borderId="70" xfId="34" applyNumberFormat="1" applyFont="1" applyFill="1" applyBorder="1" applyAlignment="1" applyProtection="1">
      <alignment horizontal="right" vertical="center"/>
      <protection locked="0"/>
    </xf>
    <xf numFmtId="9" fontId="84" fillId="20" borderId="69" xfId="33" applyFont="1" applyFill="1" applyBorder="1" applyAlignment="1" applyProtection="1">
      <alignment horizontal="right" vertical="center"/>
      <protection locked="0"/>
    </xf>
    <xf numFmtId="9" fontId="84" fillId="20" borderId="71" xfId="33" applyFont="1" applyFill="1" applyBorder="1" applyAlignment="1" applyProtection="1">
      <alignment horizontal="right" vertical="center"/>
      <protection locked="0"/>
    </xf>
    <xf numFmtId="0" fontId="81" fillId="0" borderId="107" xfId="35" applyFont="1" applyBorder="1" applyAlignment="1">
      <alignment horizontal="center" vertical="center" wrapText="1"/>
      <protection locked="0"/>
    </xf>
    <xf numFmtId="3" fontId="83" fillId="26" borderId="116" xfId="35" applyNumberFormat="1" applyFont="1" applyFill="1" applyBorder="1" applyAlignment="1">
      <alignment horizontal="right" vertical="center"/>
      <protection locked="0"/>
    </xf>
    <xf numFmtId="9" fontId="82" fillId="26" borderId="117" xfId="35" applyNumberFormat="1" applyFont="1" applyFill="1" applyBorder="1" applyAlignment="1">
      <alignment horizontal="right" vertical="center"/>
      <protection locked="0"/>
    </xf>
    <xf numFmtId="9" fontId="82" fillId="26" borderId="112" xfId="35" applyNumberFormat="1" applyFont="1" applyFill="1" applyBorder="1" applyAlignment="1">
      <alignment horizontal="right" vertical="center"/>
      <protection locked="0"/>
    </xf>
    <xf numFmtId="9" fontId="82" fillId="26" borderId="118" xfId="33" applyNumberFormat="1" applyFont="1" applyFill="1" applyBorder="1" applyAlignment="1" applyProtection="1">
      <alignment horizontal="right" vertical="center"/>
      <protection locked="0"/>
    </xf>
    <xf numFmtId="3" fontId="84" fillId="3" borderId="124" xfId="35" applyNumberFormat="1" applyFont="1" applyFill="1" applyBorder="1" applyAlignment="1">
      <alignment horizontal="right" vertical="center"/>
      <protection locked="0"/>
    </xf>
    <xf numFmtId="1" fontId="84" fillId="3" borderId="124" xfId="35" applyNumberFormat="1" applyFont="1" applyFill="1" applyBorder="1" applyAlignment="1">
      <alignment horizontal="right" vertical="center"/>
      <protection locked="0"/>
    </xf>
    <xf numFmtId="1" fontId="84" fillId="3" borderId="150" xfId="35" applyNumberFormat="1" applyFont="1" applyFill="1" applyBorder="1" applyAlignment="1">
      <alignment horizontal="right" vertical="center"/>
      <protection locked="0"/>
    </xf>
    <xf numFmtId="1" fontId="84" fillId="3" borderId="125" xfId="35" applyNumberFormat="1" applyFont="1" applyFill="1" applyBorder="1" applyAlignment="1">
      <alignment horizontal="right" vertical="center"/>
      <protection locked="0"/>
    </xf>
    <xf numFmtId="3" fontId="83" fillId="26" borderId="132" xfId="35" applyNumberFormat="1" applyFont="1" applyFill="1" applyBorder="1" applyAlignment="1">
      <alignment horizontal="right" vertical="center"/>
      <protection locked="0"/>
    </xf>
    <xf numFmtId="9" fontId="82" fillId="26" borderId="133" xfId="35" applyNumberFormat="1" applyFont="1" applyFill="1" applyBorder="1" applyAlignment="1">
      <alignment horizontal="right" vertical="center"/>
      <protection locked="0"/>
    </xf>
    <xf numFmtId="9" fontId="82" fillId="26" borderId="130" xfId="35" applyNumberFormat="1" applyFont="1" applyFill="1" applyBorder="1" applyAlignment="1">
      <alignment horizontal="right" vertical="center"/>
      <protection locked="0"/>
    </xf>
    <xf numFmtId="9" fontId="82" fillId="26" borderId="134" xfId="33" applyNumberFormat="1" applyFont="1" applyFill="1" applyBorder="1" applyAlignment="1" applyProtection="1">
      <alignment horizontal="right" vertical="center"/>
      <protection locked="0"/>
    </xf>
    <xf numFmtId="0" fontId="59" fillId="0" borderId="126" xfId="35" applyFont="1" applyBorder="1" applyAlignment="1">
      <alignment horizontal="center" vertical="center" wrapText="1"/>
      <protection locked="0"/>
    </xf>
    <xf numFmtId="0" fontId="59" fillId="0" borderId="109" xfId="35" applyFont="1" applyBorder="1" applyAlignment="1">
      <alignment horizontal="center" vertical="center" wrapText="1"/>
      <protection locked="0"/>
    </xf>
    <xf numFmtId="0" fontId="59" fillId="0" borderId="110" xfId="35" applyFont="1" applyBorder="1" applyAlignment="1">
      <alignment horizontal="center" vertical="center" wrapText="1"/>
      <protection locked="0"/>
    </xf>
    <xf numFmtId="3" fontId="80" fillId="26" borderId="127" xfId="35" applyNumberFormat="1" applyFont="1" applyFill="1" applyBorder="1" applyAlignment="1">
      <alignment horizontal="right" vertical="center"/>
      <protection locked="0"/>
    </xf>
    <xf numFmtId="3" fontId="80" fillId="26" borderId="114" xfId="35" applyNumberFormat="1" applyFont="1" applyFill="1" applyBorder="1" applyAlignment="1">
      <alignment horizontal="right" vertical="center"/>
      <protection locked="0"/>
    </xf>
    <xf numFmtId="3" fontId="80" fillId="26" borderId="115" xfId="35" applyNumberFormat="1" applyFont="1" applyFill="1" applyBorder="1" applyAlignment="1">
      <alignment horizontal="right" vertical="center"/>
      <protection locked="0"/>
    </xf>
    <xf numFmtId="3" fontId="80" fillId="3" borderId="128" xfId="35" applyNumberFormat="1" applyFont="1" applyFill="1" applyBorder="1" applyAlignment="1">
      <alignment horizontal="right" vertical="center"/>
      <protection locked="0"/>
    </xf>
    <xf numFmtId="3" fontId="80" fillId="3" borderId="122" xfId="35" applyNumberFormat="1" applyFont="1" applyFill="1" applyBorder="1" applyAlignment="1">
      <alignment horizontal="right" vertical="center"/>
      <protection locked="0"/>
    </xf>
    <xf numFmtId="3" fontId="80" fillId="3" borderId="123" xfId="35" applyNumberFormat="1" applyFont="1" applyFill="1" applyBorder="1" applyAlignment="1">
      <alignment horizontal="right" vertical="center"/>
      <protection locked="0"/>
    </xf>
    <xf numFmtId="3" fontId="80" fillId="21" borderId="94" xfId="34" applyNumberFormat="1" applyFont="1" applyFill="1" applyBorder="1" applyAlignment="1" applyProtection="1">
      <alignment horizontal="right" vertical="center"/>
      <protection locked="0"/>
    </xf>
    <xf numFmtId="3" fontId="80" fillId="21" borderId="89" xfId="34" applyNumberFormat="1" applyFont="1" applyFill="1" applyBorder="1" applyAlignment="1" applyProtection="1">
      <alignment horizontal="right" vertical="center"/>
      <protection locked="0"/>
    </xf>
    <xf numFmtId="3" fontId="80" fillId="21" borderId="96" xfId="34" applyNumberFormat="1" applyFont="1" applyFill="1" applyBorder="1" applyAlignment="1" applyProtection="1">
      <alignment horizontal="right" vertical="center"/>
      <protection locked="0"/>
    </xf>
    <xf numFmtId="3" fontId="80" fillId="26" borderId="62" xfId="35" applyNumberFormat="1" applyFont="1" applyFill="1" applyBorder="1" applyAlignment="1">
      <alignment horizontal="right" vertical="center"/>
      <protection locked="0"/>
    </xf>
    <xf numFmtId="3" fontId="80" fillId="26" borderId="90" xfId="35" applyNumberFormat="1" applyFont="1" applyFill="1" applyBorder="1" applyAlignment="1">
      <alignment horizontal="right" vertical="center"/>
      <protection locked="0"/>
    </xf>
    <xf numFmtId="3" fontId="80" fillId="26" borderId="98" xfId="35" applyNumberFormat="1" applyFont="1" applyFill="1" applyBorder="1" applyAlignment="1">
      <alignment horizontal="right" vertical="center"/>
      <protection locked="0"/>
    </xf>
    <xf numFmtId="3" fontId="80" fillId="20" borderId="94" xfId="34" applyNumberFormat="1" applyFont="1" applyFill="1" applyBorder="1" applyAlignment="1" applyProtection="1">
      <alignment horizontal="right" vertical="center"/>
      <protection locked="0"/>
    </xf>
    <xf numFmtId="3" fontId="80" fillId="20" borderId="89" xfId="34" applyNumberFormat="1" applyFont="1" applyFill="1" applyBorder="1" applyAlignment="1" applyProtection="1">
      <alignment horizontal="right" vertical="center"/>
      <protection locked="0"/>
    </xf>
    <xf numFmtId="3" fontId="80" fillId="20" borderId="96" xfId="34" applyNumberFormat="1" applyFont="1" applyFill="1" applyBorder="1" applyAlignment="1" applyProtection="1">
      <alignment horizontal="right" vertical="center"/>
      <protection locked="0"/>
    </xf>
    <xf numFmtId="3" fontId="80" fillId="26" borderId="131" xfId="35" applyNumberFormat="1" applyFont="1" applyFill="1" applyBorder="1" applyAlignment="1">
      <alignment horizontal="right" vertical="center"/>
      <protection locked="0"/>
    </xf>
    <xf numFmtId="3" fontId="80" fillId="26" borderId="93" xfId="35" applyNumberFormat="1" applyFont="1" applyFill="1" applyBorder="1" applyAlignment="1">
      <alignment horizontal="right" vertical="center"/>
      <protection locked="0"/>
    </xf>
    <xf numFmtId="3" fontId="80" fillId="26" borderId="104" xfId="35" applyNumberFormat="1" applyFont="1" applyFill="1" applyBorder="1" applyAlignment="1">
      <alignment horizontal="right" vertical="center"/>
      <protection locked="0"/>
    </xf>
    <xf numFmtId="0" fontId="59" fillId="0" borderId="95" xfId="0" applyFont="1" applyBorder="1" applyAlignment="1">
      <alignment horizontal="center" vertical="center" wrapText="1"/>
      <protection locked="0"/>
    </xf>
    <xf numFmtId="0" fontId="59" fillId="0" borderId="89" xfId="0" applyFont="1" applyBorder="1" applyAlignment="1">
      <alignment horizontal="center" vertical="center" wrapText="1"/>
      <protection locked="0"/>
    </xf>
    <xf numFmtId="0" fontId="59" fillId="0" borderId="139" xfId="0" applyFont="1" applyBorder="1" applyAlignment="1">
      <alignment horizontal="center" vertical="center" wrapText="1"/>
      <protection locked="0"/>
    </xf>
    <xf numFmtId="0" fontId="77" fillId="22" borderId="0" xfId="31" applyFont="1" applyFill="1">
      <protection locked="0"/>
    </xf>
    <xf numFmtId="0" fontId="56" fillId="8" borderId="0" xfId="31" applyFont="1" applyFill="1">
      <protection locked="0"/>
    </xf>
    <xf numFmtId="0" fontId="3" fillId="8" borderId="0" xfId="31" applyFont="1" applyFill="1">
      <protection locked="0"/>
    </xf>
    <xf numFmtId="0" fontId="85" fillId="22" borderId="0" xfId="32" applyNumberFormat="1" applyFont="1" applyFill="1" applyBorder="1" applyAlignment="1" applyProtection="1">
      <protection locked="0"/>
    </xf>
    <xf numFmtId="0" fontId="74" fillId="8" borderId="0" xfId="31" applyFont="1" applyFill="1">
      <protection locked="0"/>
    </xf>
    <xf numFmtId="11" fontId="85" fillId="22" borderId="0" xfId="32" applyNumberFormat="1" applyFont="1" applyFill="1" applyBorder="1" applyAlignment="1" applyProtection="1">
      <protection locked="0"/>
    </xf>
    <xf numFmtId="0" fontId="74" fillId="22" borderId="0" xfId="31" applyFont="1" applyFill="1">
      <protection locked="0"/>
    </xf>
    <xf numFmtId="0" fontId="3" fillId="22" borderId="0" xfId="31" applyFont="1" applyFill="1">
      <protection locked="0"/>
    </xf>
    <xf numFmtId="0" fontId="5" fillId="8" borderId="0" xfId="31" applyFont="1" applyFill="1">
      <protection locked="0"/>
    </xf>
    <xf numFmtId="0" fontId="2" fillId="8" borderId="0" xfId="31" applyFont="1" applyFill="1">
      <protection locked="0"/>
    </xf>
    <xf numFmtId="17" fontId="56" fillId="8" borderId="0" xfId="31" applyNumberFormat="1" applyFont="1" applyFill="1">
      <protection locked="0"/>
    </xf>
    <xf numFmtId="0" fontId="76" fillId="8" borderId="0" xfId="31" applyFont="1" applyFill="1">
      <protection locked="0"/>
    </xf>
    <xf numFmtId="0" fontId="56" fillId="8" borderId="0" xfId="31" applyFont="1" applyFill="1" applyAlignment="1">
      <alignment wrapText="1"/>
      <protection locked="0"/>
    </xf>
    <xf numFmtId="0" fontId="57" fillId="8" borderId="0" xfId="31" applyFont="1" applyFill="1" applyAlignment="1">
      <alignment wrapText="1"/>
      <protection locked="0"/>
    </xf>
    <xf numFmtId="0" fontId="54" fillId="0" borderId="9" xfId="2" applyFont="1" applyFill="1" applyBorder="1" applyAlignment="1">
      <alignment horizontal="center" vertical="center" wrapText="1"/>
    </xf>
    <xf numFmtId="0" fontId="22" fillId="6" borderId="10" xfId="2" applyFont="1" applyFill="1" applyBorder="1" applyAlignment="1">
      <alignment horizontal="center" vertical="center" wrapText="1"/>
    </xf>
    <xf numFmtId="0" fontId="22" fillId="6" borderId="11" xfId="2" applyFont="1" applyFill="1" applyBorder="1" applyAlignment="1">
      <alignment horizontal="center" vertical="center" wrapText="1"/>
    </xf>
    <xf numFmtId="0" fontId="22" fillId="6" borderId="12" xfId="2" applyFont="1" applyFill="1" applyBorder="1" applyAlignment="1">
      <alignment horizontal="center" vertical="center" wrapText="1"/>
    </xf>
    <xf numFmtId="0" fontId="22" fillId="6" borderId="29" xfId="2" applyFont="1" applyFill="1" applyBorder="1" applyAlignment="1">
      <alignment horizontal="center" vertical="center" wrapText="1"/>
    </xf>
    <xf numFmtId="0" fontId="22" fillId="6" borderId="30" xfId="2" applyFont="1" applyFill="1" applyBorder="1" applyAlignment="1">
      <alignment horizontal="center" vertical="center" wrapText="1"/>
    </xf>
    <xf numFmtId="0" fontId="22" fillId="6" borderId="31" xfId="2" applyFont="1" applyFill="1" applyBorder="1" applyAlignment="1">
      <alignment horizontal="center" vertical="center" wrapText="1"/>
    </xf>
    <xf numFmtId="9" fontId="4" fillId="29" borderId="137" xfId="4" applyFont="1" applyFill="1" applyBorder="1"/>
    <xf numFmtId="9" fontId="4" fillId="29" borderId="135" xfId="4" applyFont="1" applyFill="1" applyBorder="1"/>
    <xf numFmtId="9" fontId="4" fillId="29" borderId="138" xfId="4" applyFont="1" applyFill="1" applyBorder="1"/>
    <xf numFmtId="9" fontId="4" fillId="29" borderId="140" xfId="4" applyFont="1" applyFill="1" applyBorder="1"/>
    <xf numFmtId="9" fontId="58" fillId="29" borderId="145" xfId="4" applyFont="1" applyFill="1" applyBorder="1"/>
    <xf numFmtId="9" fontId="4" fillId="29" borderId="121" xfId="4" applyFont="1" applyFill="1" applyBorder="1"/>
    <xf numFmtId="9" fontId="4" fillId="29" borderId="122" xfId="4" applyFont="1" applyFill="1" applyBorder="1"/>
    <xf numFmtId="9" fontId="4" fillId="29" borderId="123" xfId="4" applyFont="1" applyFill="1" applyBorder="1"/>
    <xf numFmtId="9" fontId="4" fillId="29" borderId="141" xfId="4" applyFont="1" applyFill="1" applyBorder="1"/>
    <xf numFmtId="9" fontId="58" fillId="29" borderId="146" xfId="4" applyFont="1" applyFill="1" applyBorder="1"/>
    <xf numFmtId="3" fontId="56" fillId="20" borderId="47" xfId="34" applyNumberFormat="1" applyFont="1" applyFill="1" applyBorder="1" applyProtection="1">
      <protection locked="0"/>
    </xf>
    <xf numFmtId="9" fontId="16" fillId="0" borderId="0" xfId="2" applyNumberFormat="1" applyFont="1" applyFill="1"/>
    <xf numFmtId="9" fontId="4" fillId="19" borderId="151" xfId="4" applyFont="1" applyFill="1" applyBorder="1"/>
    <xf numFmtId="9" fontId="4" fillId="19" borderId="152" xfId="4" applyFont="1" applyFill="1" applyBorder="1"/>
    <xf numFmtId="9" fontId="4" fillId="19" borderId="153" xfId="4" applyFont="1" applyFill="1" applyBorder="1"/>
    <xf numFmtId="9" fontId="4" fillId="19" borderId="154" xfId="4" applyFont="1" applyFill="1" applyBorder="1"/>
    <xf numFmtId="9" fontId="4" fillId="19" borderId="150" xfId="4" applyFont="1" applyFill="1" applyBorder="1"/>
    <xf numFmtId="9" fontId="4" fillId="19" borderId="155" xfId="4" applyFont="1" applyFill="1" applyBorder="1"/>
    <xf numFmtId="3" fontId="4" fillId="28" borderId="142" xfId="0" applyNumberFormat="1" applyFont="1" applyFill="1" applyBorder="1" applyAlignment="1">
      <alignment horizontal="right" vertical="center"/>
      <protection locked="0"/>
    </xf>
    <xf numFmtId="3" fontId="4" fillId="23" borderId="140" xfId="0" applyNumberFormat="1" applyFont="1" applyFill="1" applyBorder="1" applyAlignment="1">
      <alignment horizontal="right" vertical="center"/>
      <protection locked="0"/>
    </xf>
    <xf numFmtId="0" fontId="0" fillId="0" borderId="0" xfId="0" applyProtection="1"/>
    <xf numFmtId="3" fontId="13" fillId="0" borderId="0" xfId="2" applyNumberFormat="1" applyBorder="1"/>
    <xf numFmtId="1" fontId="31" fillId="0" borderId="0" xfId="31" applyNumberFormat="1">
      <protection locked="0"/>
    </xf>
    <xf numFmtId="0" fontId="59" fillId="2" borderId="75" xfId="35" applyFont="1" applyFill="1" applyBorder="1" applyAlignment="1">
      <alignment vertical="center" wrapText="1"/>
      <protection locked="0"/>
    </xf>
    <xf numFmtId="0" fontId="58" fillId="2" borderId="119" xfId="35" applyFont="1" applyFill="1" applyBorder="1" applyAlignment="1">
      <alignment vertical="center" wrapText="1"/>
      <protection locked="0"/>
    </xf>
    <xf numFmtId="0" fontId="13" fillId="0" borderId="0" xfId="2" applyFont="1" applyFill="1" applyBorder="1" applyAlignment="1">
      <alignment horizontal="left" vertical="center"/>
    </xf>
    <xf numFmtId="0" fontId="59" fillId="2" borderId="111" xfId="35" applyFont="1" applyFill="1" applyBorder="1" applyAlignment="1">
      <alignment vertical="center" wrapText="1"/>
      <protection locked="0"/>
    </xf>
    <xf numFmtId="0" fontId="58" fillId="2" borderId="78" xfId="35" applyFont="1" applyFill="1" applyBorder="1" applyAlignment="1">
      <alignment vertical="center" wrapText="1"/>
      <protection locked="0"/>
    </xf>
    <xf numFmtId="0" fontId="59" fillId="2" borderId="129" xfId="35" applyFont="1" applyFill="1" applyBorder="1" applyAlignment="1">
      <alignment vertical="center" wrapText="1"/>
      <protection locked="0"/>
    </xf>
    <xf numFmtId="0" fontId="58" fillId="2" borderId="79" xfId="35" applyFont="1" applyFill="1" applyBorder="1" applyAlignment="1">
      <alignment vertical="center" wrapText="1"/>
      <protection locked="0"/>
    </xf>
    <xf numFmtId="0" fontId="59" fillId="2" borderId="113" xfId="0" applyFont="1" applyFill="1" applyBorder="1" applyAlignment="1">
      <alignment horizontal="center" vertical="center" wrapText="1"/>
      <protection locked="0"/>
    </xf>
    <xf numFmtId="0" fontId="58" fillId="2" borderId="137" xfId="0" applyFont="1" applyFill="1" applyBorder="1" applyAlignment="1">
      <alignment horizontal="center" vertical="center" wrapText="1"/>
      <protection locked="0"/>
    </xf>
    <xf numFmtId="0" fontId="58" fillId="2" borderId="121" xfId="0" applyFont="1" applyFill="1" applyBorder="1" applyAlignment="1">
      <alignment horizontal="center" vertical="center" wrapText="1"/>
      <protection locked="0"/>
    </xf>
    <xf numFmtId="0" fontId="59" fillId="2" borderId="97" xfId="0" applyFont="1" applyFill="1" applyBorder="1" applyAlignment="1">
      <alignment horizontal="center" vertical="center" wrapText="1"/>
      <protection locked="0"/>
    </xf>
    <xf numFmtId="0" fontId="58" fillId="2" borderId="105" xfId="0" applyFont="1" applyFill="1" applyBorder="1" applyAlignment="1">
      <alignment horizontal="center" vertical="center" wrapText="1"/>
      <protection locked="0"/>
    </xf>
    <xf numFmtId="0" fontId="24" fillId="0" borderId="0" xfId="2" applyFont="1" applyFill="1" applyBorder="1" applyAlignment="1">
      <alignment horizontal="center"/>
    </xf>
    <xf numFmtId="2" fontId="55" fillId="0" borderId="0" xfId="2" applyNumberFormat="1" applyFont="1" applyFill="1" applyBorder="1" applyAlignment="1">
      <alignment horizontal="center" vertical="center" shrinkToFit="1"/>
    </xf>
    <xf numFmtId="2" fontId="55" fillId="0" borderId="0" xfId="2" applyNumberFormat="1" applyFont="1" applyFill="1" applyBorder="1" applyAlignment="1">
      <alignment horizontal="left" vertical="center" shrinkToFit="1"/>
    </xf>
  </cellXfs>
  <cellStyles count="41">
    <cellStyle name="20 % - Accent1 2" xfId="5"/>
    <cellStyle name="20 % - Accent5 2" xfId="6"/>
    <cellStyle name="20 % - Accent6 2" xfId="7"/>
    <cellStyle name="40 % - Accent6 2" xfId="8"/>
    <cellStyle name="60 % - Accent1 2" xfId="9"/>
    <cellStyle name="60 % - Accent5 2" xfId="10"/>
    <cellStyle name="60 % - Accent6 2" xfId="11"/>
    <cellStyle name="Accent5 2" xfId="12"/>
    <cellStyle name="Calcul 2" xfId="13"/>
    <cellStyle name="Comma [0]" xfId="14"/>
    <cellStyle name="Commentaire" xfId="15"/>
    <cellStyle name="Currency [0]" xfId="16"/>
    <cellStyle name="En-tête" xfId="17"/>
    <cellStyle name="Entrée 2" xfId="18"/>
    <cellStyle name="Lien hypertexte" xfId="32" builtinId="8"/>
    <cellStyle name="Lien hypertexte 2" xfId="19"/>
    <cellStyle name="Milliers" xfId="30" builtinId="3"/>
    <cellStyle name="Milliers 2" xfId="21"/>
    <cellStyle name="Milliers 2 2" xfId="34"/>
    <cellStyle name="Milliers 3" xfId="20"/>
    <cellStyle name="Normal" xfId="0" builtinId="0"/>
    <cellStyle name="Normal 2" xfId="2"/>
    <cellStyle name="Normal 3" xfId="22"/>
    <cellStyle name="Normal 3 2" xfId="35"/>
    <cellStyle name="Normal 4" xfId="31"/>
    <cellStyle name="Pourcentage" xfId="4" builtinId="5"/>
    <cellStyle name="Pourcentage 2" xfId="1"/>
    <cellStyle name="Pourcentage 2 2" xfId="23"/>
    <cellStyle name="Pourcentage 2 3" xfId="33"/>
    <cellStyle name="Résultat 1" xfId="24"/>
    <cellStyle name="Résultat2 1" xfId="25"/>
    <cellStyle name="Sortie 2" xfId="26"/>
    <cellStyle name="Texte explicatif" xfId="3" builtinId="53" customBuiltin="1"/>
    <cellStyle name="Titre 1" xfId="27"/>
    <cellStyle name="Titre 2" xfId="28"/>
    <cellStyle name="Titre1 1" xfId="29"/>
    <cellStyle name="XLConnect.Boolean" xfId="39"/>
    <cellStyle name="XLConnect.DateTime" xfId="40"/>
    <cellStyle name="XLConnect.Header" xfId="36"/>
    <cellStyle name="XLConnect.Numeric" xfId="38"/>
    <cellStyle name="XLConnect.String" xfId="37"/>
  </cellStyles>
  <dxfs count="0"/>
  <tableStyles count="0" defaultTableStyle="TableStyleMedium2" defaultPivotStyle="PivotStyleLight16"/>
  <colors>
    <indexedColors>
      <rgbColor rgb="FF000000"/>
      <rgbColor rgb="FFFFFFFF"/>
      <rgbColor rgb="FFFF0000"/>
      <rgbColor rgb="FF00FF00"/>
      <rgbColor rgb="FF0000FF"/>
      <rgbColor rgb="FFFFD320"/>
      <rgbColor rgb="FFFF00FF"/>
      <rgbColor rgb="FF00FFFF"/>
      <rgbColor rgb="FFCC0000"/>
      <rgbColor rgb="FF008000"/>
      <rgbColor rgb="FF000080"/>
      <rgbColor rgb="FF996600"/>
      <rgbColor rgb="FF800080"/>
      <rgbColor rgb="FF008080"/>
      <rgbColor rgb="FFC0C0C0"/>
      <rgbColor rgb="FF808080"/>
      <rgbColor rgb="FFFFCCCC"/>
      <rgbColor rgb="FF666666"/>
      <rgbColor rgb="FFFFFFCC"/>
      <rgbColor rgb="FFCCFFFF"/>
      <rgbColor rgb="FF660066"/>
      <rgbColor rgb="FFFF420E"/>
      <rgbColor rgb="FF0066CC"/>
      <rgbColor rgb="FFCCCCFF"/>
      <rgbColor rgb="FF0000CC"/>
      <rgbColor rgb="FFFF00FF"/>
      <rgbColor rgb="FFE3D200"/>
      <rgbColor rgb="FF00FFFF"/>
      <rgbColor rgb="FF800080"/>
      <rgbColor rgb="FF800000"/>
      <rgbColor rgb="FF008080"/>
      <rgbColor rgb="FF0000EE"/>
      <rgbColor rgb="FF00CCFF"/>
      <rgbColor rgb="FFDDDDDD"/>
      <rgbColor rgb="FFCCFFCC"/>
      <rgbColor rgb="FFFFFF99"/>
      <rgbColor rgb="FF99CCFF"/>
      <rgbColor rgb="FFFF99CC"/>
      <rgbColor rgb="FFB3B3B3"/>
      <rgbColor rgb="FFFFCC99"/>
      <rgbColor rgb="FF3366FF"/>
      <rgbColor rgb="FF33CCCC"/>
      <rgbColor rgb="FF99CC00"/>
      <rgbColor rgb="FFFFCC00"/>
      <rgbColor rgb="FFFF9900"/>
      <rgbColor rgb="FFFF6600"/>
      <rgbColor rgb="FF666699"/>
      <rgbColor rgb="FF969696"/>
      <rgbColor rgb="FF004586"/>
      <rgbColor rgb="FF339966"/>
      <rgbColor rgb="FF0066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252AFF"/>
      <color rgb="FF3D9E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fr-FR"/>
              <a:t>Evolution des cotations de blé tendre</a:t>
            </a:r>
          </a:p>
        </c:rich>
      </c:tx>
      <c:layout>
        <c:manualLayout>
          <c:xMode val="edge"/>
          <c:yMode val="edge"/>
          <c:x val="0.24208697426541195"/>
          <c:y val="4.1883374775521481E-2"/>
        </c:manualLayout>
      </c:layout>
      <c:overlay val="0"/>
      <c:spPr>
        <a:noFill/>
        <a:ln w="25400">
          <a:noFill/>
        </a:ln>
      </c:spPr>
    </c:title>
    <c:autoTitleDeleted val="0"/>
    <c:plotArea>
      <c:layout>
        <c:manualLayout>
          <c:layoutTarget val="inner"/>
          <c:xMode val="edge"/>
          <c:yMode val="edge"/>
          <c:x val="0.13893554631730795"/>
          <c:y val="0.19281680653713371"/>
          <c:w val="0.78475682205600306"/>
          <c:h val="0.52289303467697268"/>
        </c:manualLayout>
      </c:layout>
      <c:lineChart>
        <c:grouping val="standard"/>
        <c:varyColors val="0"/>
        <c:ser>
          <c:idx val="0"/>
          <c:order val="0"/>
          <c:tx>
            <c:strRef>
              <c:f>Cotations_cereales!$B$11:$B$11</c:f>
              <c:strCache>
                <c:ptCount val="1"/>
                <c:pt idx="0">
                  <c:v>Moyenne 2019-2023</c:v>
                </c:pt>
              </c:strCache>
            </c:strRef>
          </c:tx>
          <c:spPr>
            <a:ln w="25400">
              <a:solidFill>
                <a:srgbClr val="FFD320"/>
              </a:solidFill>
              <a:prstDash val="sysDash"/>
            </a:ln>
          </c:spPr>
          <c:marker>
            <c:symbol val="none"/>
          </c:marker>
          <c:cat>
            <c:strRef>
              <c:f>Cotations_cereales!$A$12:$A$23</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Cotations_cereales!$B$12:$B$23</c:f>
              <c:numCache>
                <c:formatCode>0.00</c:formatCode>
                <c:ptCount val="12"/>
                <c:pt idx="0">
                  <c:v>228.61</c:v>
                </c:pt>
                <c:pt idx="1">
                  <c:v>229.35</c:v>
                </c:pt>
                <c:pt idx="2">
                  <c:v>232.39</c:v>
                </c:pt>
                <c:pt idx="3">
                  <c:v>257.56</c:v>
                </c:pt>
                <c:pt idx="4">
                  <c:v>244.26</c:v>
                </c:pt>
                <c:pt idx="5">
                  <c:v>232.1</c:v>
                </c:pt>
                <c:pt idx="6">
                  <c:v>237.21</c:v>
                </c:pt>
                <c:pt idx="7">
                  <c:v>233.22</c:v>
                </c:pt>
                <c:pt idx="8">
                  <c:v>243.24</c:v>
                </c:pt>
                <c:pt idx="9">
                  <c:v>246.17</c:v>
                </c:pt>
                <c:pt idx="10">
                  <c:v>259.58999999999997</c:v>
                </c:pt>
                <c:pt idx="11">
                  <c:v>242.59</c:v>
                </c:pt>
              </c:numCache>
            </c:numRef>
          </c:val>
          <c:smooth val="0"/>
          <c:extLst>
            <c:ext xmlns:c16="http://schemas.microsoft.com/office/drawing/2014/chart" uri="{C3380CC4-5D6E-409C-BE32-E72D297353CC}">
              <c16:uniqueId val="{00000000-51C5-4B78-B8A4-596A6BBF0FB8}"/>
            </c:ext>
          </c:extLst>
        </c:ser>
        <c:ser>
          <c:idx val="1"/>
          <c:order val="1"/>
          <c:tx>
            <c:strRef>
              <c:f>Cotations_cereales!$D$11</c:f>
              <c:strCache>
                <c:ptCount val="1"/>
                <c:pt idx="0">
                  <c:v>2024-2025</c:v>
                </c:pt>
              </c:strCache>
            </c:strRef>
          </c:tx>
          <c:spPr>
            <a:ln w="25400">
              <a:solidFill>
                <a:srgbClr val="FF420E"/>
              </a:solidFill>
              <a:prstDash val="solid"/>
            </a:ln>
          </c:spPr>
          <c:marker>
            <c:symbol val="none"/>
          </c:marker>
          <c:cat>
            <c:strRef>
              <c:f>Cotations_cereales!$A$12:$A$23</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Cotations_cereales!$D$12:$D$23</c:f>
              <c:numCache>
                <c:formatCode>0.00</c:formatCode>
                <c:ptCount val="12"/>
                <c:pt idx="0">
                  <c:v>219.18</c:v>
                </c:pt>
                <c:pt idx="1">
                  <c:v>208.43</c:v>
                </c:pt>
                <c:pt idx="2">
                  <c:v>214.64</c:v>
                </c:pt>
                <c:pt idx="3">
                  <c:v>223.78</c:v>
                </c:pt>
                <c:pt idx="4">
                  <c:v>217.43</c:v>
                </c:pt>
                <c:pt idx="5">
                  <c:v>225.55</c:v>
                </c:pt>
                <c:pt idx="6">
                  <c:v>224.35888888888891</c:v>
                </c:pt>
                <c:pt idx="7">
                  <c:v>224.84299999999993</c:v>
                </c:pt>
                <c:pt idx="8">
                  <c:v>215.52500000000003</c:v>
                </c:pt>
                <c:pt idx="9">
                  <c:v>206.25078947368422</c:v>
                </c:pt>
                <c:pt idx="10">
                  <c:v>192.39727272727271</c:v>
                </c:pt>
                <c:pt idx="11">
                  <c:v>194.76</c:v>
                </c:pt>
              </c:numCache>
            </c:numRef>
          </c:val>
          <c:smooth val="0"/>
          <c:extLst>
            <c:ext xmlns:c16="http://schemas.microsoft.com/office/drawing/2014/chart" uri="{C3380CC4-5D6E-409C-BE32-E72D297353CC}">
              <c16:uniqueId val="{00000001-51C5-4B78-B8A4-596A6BBF0FB8}"/>
            </c:ext>
          </c:extLst>
        </c:ser>
        <c:ser>
          <c:idx val="2"/>
          <c:order val="2"/>
          <c:tx>
            <c:strRef>
              <c:f>Cotations_cereales!$C$11</c:f>
              <c:strCache>
                <c:ptCount val="1"/>
                <c:pt idx="0">
                  <c:v>2023-2024</c:v>
                </c:pt>
              </c:strCache>
            </c:strRef>
          </c:tx>
          <c:spPr>
            <a:ln w="25400">
              <a:solidFill>
                <a:srgbClr val="663300"/>
              </a:solidFill>
              <a:prstDash val="solid"/>
            </a:ln>
          </c:spPr>
          <c:marker>
            <c:symbol val="none"/>
          </c:marker>
          <c:cat>
            <c:strRef>
              <c:f>Cotations_cereales!$A$12:$A$23</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Cotations_cereales!$C$12:$C$23</c:f>
              <c:numCache>
                <c:formatCode>0.00</c:formatCode>
                <c:ptCount val="12"/>
                <c:pt idx="0">
                  <c:v>234.72</c:v>
                </c:pt>
                <c:pt idx="1">
                  <c:v>227.24</c:v>
                </c:pt>
                <c:pt idx="2">
                  <c:v>227.71</c:v>
                </c:pt>
                <c:pt idx="3">
                  <c:v>229.21</c:v>
                </c:pt>
                <c:pt idx="4">
                  <c:v>221.19</c:v>
                </c:pt>
                <c:pt idx="5">
                  <c:v>202.75</c:v>
                </c:pt>
                <c:pt idx="6">
                  <c:v>211.66</c:v>
                </c:pt>
                <c:pt idx="7">
                  <c:v>197.57</c:v>
                </c:pt>
                <c:pt idx="8">
                  <c:v>176.06</c:v>
                </c:pt>
                <c:pt idx="9">
                  <c:v>194.6</c:v>
                </c:pt>
                <c:pt idx="10">
                  <c:v>226.39</c:v>
                </c:pt>
                <c:pt idx="11">
                  <c:v>230.27</c:v>
                </c:pt>
              </c:numCache>
            </c:numRef>
          </c:val>
          <c:smooth val="0"/>
          <c:extLst>
            <c:ext xmlns:c16="http://schemas.microsoft.com/office/drawing/2014/chart" uri="{C3380CC4-5D6E-409C-BE32-E72D297353CC}">
              <c16:uniqueId val="{00000002-51C5-4B78-B8A4-596A6BBF0FB8}"/>
            </c:ext>
          </c:extLst>
        </c:ser>
        <c:dLbls>
          <c:showLegendKey val="0"/>
          <c:showVal val="0"/>
          <c:showCatName val="0"/>
          <c:showSerName val="0"/>
          <c:showPercent val="0"/>
          <c:showBubbleSize val="0"/>
        </c:dLbls>
        <c:smooth val="0"/>
        <c:axId val="1866331599"/>
        <c:axId val="1"/>
      </c:lineChart>
      <c:catAx>
        <c:axId val="1866331599"/>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fr-FR"/>
                  <a:t>€/tonne</a:t>
                </a:r>
              </a:p>
            </c:rich>
          </c:tx>
          <c:layout>
            <c:manualLayout>
              <c:xMode val="edge"/>
              <c:yMode val="edge"/>
              <c:x val="7.0792722937071881E-2"/>
              <c:y val="5.9486375880646494E-2"/>
            </c:manualLayout>
          </c:layout>
          <c:overlay val="0"/>
          <c:spPr>
            <a:noFill/>
            <a:ln w="25400">
              <a:noFill/>
            </a:ln>
          </c:spPr>
        </c:title>
        <c:numFmt formatCode="General" sourceLinked="1"/>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At val="0"/>
        <c:auto val="1"/>
        <c:lblAlgn val="ctr"/>
        <c:lblOffset val="100"/>
        <c:tickLblSkip val="1"/>
        <c:tickMarkSkip val="1"/>
        <c:noMultiLvlLbl val="0"/>
      </c:catAx>
      <c:valAx>
        <c:axId val="1"/>
        <c:scaling>
          <c:orientation val="minMax"/>
          <c:max val="450"/>
          <c:min val="100"/>
        </c:scaling>
        <c:delete val="0"/>
        <c:axPos val="l"/>
        <c:majorGridlines>
          <c:spPr>
            <a:ln w="3175">
              <a:solidFill>
                <a:srgbClr val="B3B3B3"/>
              </a:solidFill>
              <a:prstDash val="solid"/>
            </a:ln>
          </c:spPr>
        </c:majorGridlines>
        <c:numFmt formatCode="#,##0" sourceLinked="0"/>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866331599"/>
        <c:crossesAt val="1"/>
        <c:crossBetween val="midCat"/>
        <c:majorUnit val="50"/>
      </c:valAx>
      <c:spPr>
        <a:noFill/>
        <a:ln w="3175">
          <a:solidFill>
            <a:srgbClr val="B3B3B3"/>
          </a:solidFill>
          <a:prstDash val="solid"/>
        </a:ln>
      </c:spPr>
    </c:plotArea>
    <c:legend>
      <c:legendPos val="b"/>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fr-FR"/>
              <a:t>Évolution des cotations de maïs</a:t>
            </a:r>
          </a:p>
        </c:rich>
      </c:tx>
      <c:layout>
        <c:manualLayout>
          <c:xMode val="edge"/>
          <c:yMode val="edge"/>
          <c:x val="0.27199263011330899"/>
          <c:y val="3.9683727034120736E-2"/>
        </c:manualLayout>
      </c:layout>
      <c:overlay val="0"/>
      <c:spPr>
        <a:noFill/>
        <a:ln w="25400">
          <a:noFill/>
        </a:ln>
      </c:spPr>
    </c:title>
    <c:autoTitleDeleted val="0"/>
    <c:plotArea>
      <c:layout>
        <c:manualLayout>
          <c:layoutTarget val="inner"/>
          <c:xMode val="edge"/>
          <c:yMode val="edge"/>
          <c:x val="0.13893554631730795"/>
          <c:y val="0.21263207978272339"/>
          <c:w val="0.78475682205600306"/>
          <c:h val="0.47177742701791758"/>
        </c:manualLayout>
      </c:layout>
      <c:lineChart>
        <c:grouping val="standard"/>
        <c:varyColors val="0"/>
        <c:ser>
          <c:idx val="0"/>
          <c:order val="0"/>
          <c:tx>
            <c:strRef>
              <c:f>Cotations_cereales!$B$47:$B$47</c:f>
              <c:strCache>
                <c:ptCount val="1"/>
                <c:pt idx="0">
                  <c:v>Moyenne 2019-2023</c:v>
                </c:pt>
              </c:strCache>
            </c:strRef>
          </c:tx>
          <c:spPr>
            <a:ln w="25400">
              <a:solidFill>
                <a:srgbClr val="FFD320"/>
              </a:solidFill>
              <a:prstDash val="sysDash"/>
            </a:ln>
          </c:spPr>
          <c:marker>
            <c:symbol val="none"/>
          </c:marker>
          <c:cat>
            <c:strRef>
              <c:f>Cotations_cereales!$A$48:$A$59</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Cotations_cereales!$B$48:$B$59</c:f>
              <c:numCache>
                <c:formatCode>0.00</c:formatCode>
                <c:ptCount val="12"/>
                <c:pt idx="0">
                  <c:v>232.24</c:v>
                </c:pt>
                <c:pt idx="1">
                  <c:v>236.83</c:v>
                </c:pt>
                <c:pt idx="2">
                  <c:v>223.87</c:v>
                </c:pt>
                <c:pt idx="3">
                  <c:v>231.34</c:v>
                </c:pt>
                <c:pt idx="4">
                  <c:v>229.32</c:v>
                </c:pt>
                <c:pt idx="5">
                  <c:v>229.1</c:v>
                </c:pt>
                <c:pt idx="6">
                  <c:v>223.87</c:v>
                </c:pt>
                <c:pt idx="7">
                  <c:v>225.87</c:v>
                </c:pt>
                <c:pt idx="8">
                  <c:v>241.01</c:v>
                </c:pt>
                <c:pt idx="9">
                  <c:v>237.67</c:v>
                </c:pt>
                <c:pt idx="10">
                  <c:v>245.72</c:v>
                </c:pt>
                <c:pt idx="11">
                  <c:v>240.2</c:v>
                </c:pt>
              </c:numCache>
            </c:numRef>
          </c:val>
          <c:smooth val="0"/>
          <c:extLst>
            <c:ext xmlns:c16="http://schemas.microsoft.com/office/drawing/2014/chart" uri="{C3380CC4-5D6E-409C-BE32-E72D297353CC}">
              <c16:uniqueId val="{00000000-A263-4762-811A-1665ED4CBD61}"/>
            </c:ext>
          </c:extLst>
        </c:ser>
        <c:ser>
          <c:idx val="1"/>
          <c:order val="1"/>
          <c:tx>
            <c:strRef>
              <c:f>Cotations_cereales!$D$47</c:f>
              <c:strCache>
                <c:ptCount val="1"/>
                <c:pt idx="0">
                  <c:v>2024-2025</c:v>
                </c:pt>
              </c:strCache>
            </c:strRef>
          </c:tx>
          <c:spPr>
            <a:ln w="25400">
              <a:solidFill>
                <a:srgbClr val="EB613D"/>
              </a:solidFill>
              <a:prstDash val="solid"/>
            </a:ln>
          </c:spPr>
          <c:marker>
            <c:symbol val="none"/>
          </c:marker>
          <c:cat>
            <c:strRef>
              <c:f>Cotations_cereales!$A$48:$A$59</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Cotations_cereales!$D$48:$D$59</c:f>
              <c:numCache>
                <c:formatCode>0.00</c:formatCode>
                <c:ptCount val="12"/>
                <c:pt idx="0">
                  <c:v>211.89</c:v>
                </c:pt>
                <c:pt idx="1">
                  <c:v>204.28</c:v>
                </c:pt>
                <c:pt idx="2">
                  <c:v>205.76</c:v>
                </c:pt>
                <c:pt idx="3">
                  <c:v>213.61</c:v>
                </c:pt>
                <c:pt idx="4">
                  <c:v>207.32</c:v>
                </c:pt>
                <c:pt idx="5">
                  <c:v>206.61</c:v>
                </c:pt>
                <c:pt idx="6">
                  <c:v>213.9</c:v>
                </c:pt>
                <c:pt idx="7">
                  <c:v>214.91</c:v>
                </c:pt>
                <c:pt idx="8">
                  <c:v>209.07</c:v>
                </c:pt>
                <c:pt idx="9">
                  <c:v>203.54</c:v>
                </c:pt>
                <c:pt idx="10">
                  <c:v>194.41</c:v>
                </c:pt>
                <c:pt idx="11">
                  <c:v>187.85</c:v>
                </c:pt>
              </c:numCache>
            </c:numRef>
          </c:val>
          <c:smooth val="0"/>
          <c:extLst>
            <c:ext xmlns:c16="http://schemas.microsoft.com/office/drawing/2014/chart" uri="{C3380CC4-5D6E-409C-BE32-E72D297353CC}">
              <c16:uniqueId val="{00000001-A263-4762-811A-1665ED4CBD61}"/>
            </c:ext>
          </c:extLst>
        </c:ser>
        <c:ser>
          <c:idx val="2"/>
          <c:order val="2"/>
          <c:tx>
            <c:strRef>
              <c:f>Cotations_cereales!$C$47</c:f>
              <c:strCache>
                <c:ptCount val="1"/>
                <c:pt idx="0">
                  <c:v>2023-2024</c:v>
                </c:pt>
              </c:strCache>
            </c:strRef>
          </c:tx>
          <c:spPr>
            <a:ln w="25400">
              <a:solidFill>
                <a:srgbClr val="663300"/>
              </a:solidFill>
              <a:prstDash val="solid"/>
            </a:ln>
          </c:spPr>
          <c:marker>
            <c:symbol val="none"/>
          </c:marker>
          <c:cat>
            <c:strRef>
              <c:f>Cotations_cereales!$A$48:$A$59</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Cotations_cereales!$C$48:$C$59</c:f>
              <c:numCache>
                <c:formatCode>0.00</c:formatCode>
                <c:ptCount val="12"/>
                <c:pt idx="0">
                  <c:v>238.38</c:v>
                </c:pt>
                <c:pt idx="1">
                  <c:v>230.25</c:v>
                </c:pt>
                <c:pt idx="2">
                  <c:v>214.74</c:v>
                </c:pt>
                <c:pt idx="3">
                  <c:v>204.21</c:v>
                </c:pt>
                <c:pt idx="4">
                  <c:v>205.45</c:v>
                </c:pt>
                <c:pt idx="5">
                  <c:v>200.19</c:v>
                </c:pt>
                <c:pt idx="6">
                  <c:v>192.21</c:v>
                </c:pt>
                <c:pt idx="7">
                  <c:v>177.34</c:v>
                </c:pt>
                <c:pt idx="8">
                  <c:v>180.24</c:v>
                </c:pt>
                <c:pt idx="9">
                  <c:v>193.27</c:v>
                </c:pt>
                <c:pt idx="10">
                  <c:v>211.99</c:v>
                </c:pt>
                <c:pt idx="11">
                  <c:v>209.28</c:v>
                </c:pt>
              </c:numCache>
            </c:numRef>
          </c:val>
          <c:smooth val="0"/>
          <c:extLst>
            <c:ext xmlns:c16="http://schemas.microsoft.com/office/drawing/2014/chart" uri="{C3380CC4-5D6E-409C-BE32-E72D297353CC}">
              <c16:uniqueId val="{00000002-A263-4762-811A-1665ED4CBD61}"/>
            </c:ext>
          </c:extLst>
        </c:ser>
        <c:dLbls>
          <c:showLegendKey val="0"/>
          <c:showVal val="0"/>
          <c:showCatName val="0"/>
          <c:showSerName val="0"/>
          <c:showPercent val="0"/>
          <c:showBubbleSize val="0"/>
        </c:dLbls>
        <c:smooth val="0"/>
        <c:axId val="1945079823"/>
        <c:axId val="1"/>
      </c:lineChart>
      <c:catAx>
        <c:axId val="1945079823"/>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fr-FR"/>
                  <a:t>€/tonne</a:t>
                </a:r>
              </a:p>
            </c:rich>
          </c:tx>
          <c:layout>
            <c:manualLayout>
              <c:xMode val="edge"/>
              <c:yMode val="edge"/>
              <c:x val="9.3086230074899162E-2"/>
              <c:y val="7.3403762029746286E-2"/>
            </c:manualLayout>
          </c:layout>
          <c:overlay val="0"/>
          <c:spPr>
            <a:noFill/>
            <a:ln w="25400">
              <a:noFill/>
            </a:ln>
          </c:spPr>
        </c:title>
        <c:numFmt formatCode="General" sourceLinked="1"/>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At val="0"/>
        <c:auto val="1"/>
        <c:lblAlgn val="ctr"/>
        <c:lblOffset val="100"/>
        <c:tickLblSkip val="1"/>
        <c:tickMarkSkip val="1"/>
        <c:noMultiLvlLbl val="0"/>
      </c:catAx>
      <c:valAx>
        <c:axId val="1"/>
        <c:scaling>
          <c:orientation val="minMax"/>
          <c:max val="400"/>
          <c:min val="50"/>
        </c:scaling>
        <c:delete val="0"/>
        <c:axPos val="l"/>
        <c:majorGridlines>
          <c:spPr>
            <a:ln w="3175">
              <a:solidFill>
                <a:srgbClr val="B3B3B3"/>
              </a:solidFill>
              <a:prstDash val="solid"/>
            </a:ln>
          </c:spPr>
        </c:majorGridlines>
        <c:numFmt formatCode="0" sourceLinked="0"/>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945079823"/>
        <c:crossesAt val="1"/>
        <c:crossBetween val="midCat"/>
        <c:majorUnit val="50"/>
      </c:valAx>
      <c:spPr>
        <a:noFill/>
        <a:ln w="3175">
          <a:solidFill>
            <a:srgbClr val="B3B3B3"/>
          </a:solidFill>
          <a:prstDash val="solid"/>
        </a:ln>
      </c:spPr>
    </c:plotArea>
    <c:legend>
      <c:legendPos val="b"/>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fr-FR"/>
              <a:t>Évolution des cotations de blé dur</a:t>
            </a:r>
          </a:p>
        </c:rich>
      </c:tx>
      <c:layout>
        <c:manualLayout>
          <c:xMode val="edge"/>
          <c:yMode val="edge"/>
          <c:x val="0.25715073287071993"/>
          <c:y val="3.1747361367063159E-2"/>
        </c:manualLayout>
      </c:layout>
      <c:overlay val="0"/>
      <c:spPr>
        <a:noFill/>
        <a:ln w="25400">
          <a:noFill/>
        </a:ln>
      </c:spPr>
    </c:title>
    <c:autoTitleDeleted val="0"/>
    <c:plotArea>
      <c:layout>
        <c:manualLayout>
          <c:layoutTarget val="inner"/>
          <c:xMode val="edge"/>
          <c:yMode val="edge"/>
          <c:x val="0.12296875989950053"/>
          <c:y val="0.18827799073353596"/>
          <c:w val="0.78660970671847208"/>
          <c:h val="0.5123631873799509"/>
        </c:manualLayout>
      </c:layout>
      <c:lineChart>
        <c:grouping val="standard"/>
        <c:varyColors val="0"/>
        <c:ser>
          <c:idx val="0"/>
          <c:order val="0"/>
          <c:tx>
            <c:strRef>
              <c:f>Cotations_cereales!$B$29</c:f>
              <c:strCache>
                <c:ptCount val="1"/>
                <c:pt idx="0">
                  <c:v>Moyenne 2019-2023</c:v>
                </c:pt>
              </c:strCache>
            </c:strRef>
          </c:tx>
          <c:spPr>
            <a:ln w="25400">
              <a:solidFill>
                <a:srgbClr val="FFD320"/>
              </a:solidFill>
              <a:prstDash val="sysDash"/>
            </a:ln>
          </c:spPr>
          <c:marker>
            <c:symbol val="none"/>
          </c:marker>
          <c:cat>
            <c:strRef>
              <c:f>Cotations_cereales!$A$30:$A$41</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Cotations_cereales!$B$30:$B$41</c:f>
              <c:numCache>
                <c:formatCode>0.00</c:formatCode>
                <c:ptCount val="12"/>
                <c:pt idx="0">
                  <c:v>340.68</c:v>
                </c:pt>
                <c:pt idx="1">
                  <c:v>368.33</c:v>
                </c:pt>
                <c:pt idx="2">
                  <c:v>357.56</c:v>
                </c:pt>
                <c:pt idx="3">
                  <c:v>380.64</c:v>
                </c:pt>
                <c:pt idx="4">
                  <c:v>377.84</c:v>
                </c:pt>
                <c:pt idx="5">
                  <c:v>369.88</c:v>
                </c:pt>
                <c:pt idx="6">
                  <c:v>386.26</c:v>
                </c:pt>
                <c:pt idx="7">
                  <c:v>358.34</c:v>
                </c:pt>
                <c:pt idx="8">
                  <c:v>346.73</c:v>
                </c:pt>
                <c:pt idx="9">
                  <c:v>340.75</c:v>
                </c:pt>
                <c:pt idx="10">
                  <c:v>347.96</c:v>
                </c:pt>
                <c:pt idx="11">
                  <c:v>354.57</c:v>
                </c:pt>
              </c:numCache>
            </c:numRef>
          </c:val>
          <c:smooth val="0"/>
          <c:extLst>
            <c:ext xmlns:c16="http://schemas.microsoft.com/office/drawing/2014/chart" uri="{C3380CC4-5D6E-409C-BE32-E72D297353CC}">
              <c16:uniqueId val="{00000000-6546-4E8B-8998-83362B29BF51}"/>
            </c:ext>
          </c:extLst>
        </c:ser>
        <c:ser>
          <c:idx val="1"/>
          <c:order val="1"/>
          <c:tx>
            <c:strRef>
              <c:f>Cotations_cereales!$D$29</c:f>
              <c:strCache>
                <c:ptCount val="1"/>
                <c:pt idx="0">
                  <c:v>2024-2025</c:v>
                </c:pt>
              </c:strCache>
            </c:strRef>
          </c:tx>
          <c:spPr>
            <a:ln w="25400">
              <a:solidFill>
                <a:srgbClr val="EB613D"/>
              </a:solidFill>
              <a:prstDash val="solid"/>
            </a:ln>
          </c:spPr>
          <c:marker>
            <c:symbol val="none"/>
          </c:marker>
          <c:cat>
            <c:strRef>
              <c:f>Cotations_cereales!$A$30:$A$41</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Cotations_cereales!$D$30:$D$41</c:f>
              <c:numCache>
                <c:formatCode>0.00</c:formatCode>
                <c:ptCount val="12"/>
                <c:pt idx="0">
                  <c:v>297.94</c:v>
                </c:pt>
                <c:pt idx="1">
                  <c:v>270</c:v>
                </c:pt>
                <c:pt idx="2">
                  <c:v>292.67</c:v>
                </c:pt>
                <c:pt idx="3">
                  <c:v>299.23</c:v>
                </c:pt>
                <c:pt idx="4">
                  <c:v>303.92</c:v>
                </c:pt>
                <c:pt idx="5">
                  <c:v>297.5</c:v>
                </c:pt>
                <c:pt idx="6">
                  <c:v>299.56</c:v>
                </c:pt>
                <c:pt idx="7">
                  <c:v>302.64</c:v>
                </c:pt>
                <c:pt idx="8">
                  <c:v>303.32</c:v>
                </c:pt>
                <c:pt idx="9">
                  <c:v>293.25</c:v>
                </c:pt>
              </c:numCache>
            </c:numRef>
          </c:val>
          <c:smooth val="0"/>
          <c:extLst>
            <c:ext xmlns:c16="http://schemas.microsoft.com/office/drawing/2014/chart" uri="{C3380CC4-5D6E-409C-BE32-E72D297353CC}">
              <c16:uniqueId val="{00000001-6546-4E8B-8998-83362B29BF51}"/>
            </c:ext>
          </c:extLst>
        </c:ser>
        <c:ser>
          <c:idx val="2"/>
          <c:order val="2"/>
          <c:tx>
            <c:strRef>
              <c:f>Cotations_cereales!$C$29</c:f>
              <c:strCache>
                <c:ptCount val="1"/>
                <c:pt idx="0">
                  <c:v>2023-2024</c:v>
                </c:pt>
              </c:strCache>
            </c:strRef>
          </c:tx>
          <c:spPr>
            <a:ln w="25400">
              <a:solidFill>
                <a:srgbClr val="663300"/>
              </a:solidFill>
              <a:prstDash val="solid"/>
            </a:ln>
          </c:spPr>
          <c:marker>
            <c:symbol val="none"/>
          </c:marker>
          <c:cat>
            <c:strRef>
              <c:f>Cotations_cereales!$A$30:$A$41</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Cotations_cereales!$C$30:$C$41</c:f>
              <c:numCache>
                <c:formatCode>0.00</c:formatCode>
                <c:ptCount val="12"/>
                <c:pt idx="0">
                  <c:v>369.7</c:v>
                </c:pt>
                <c:pt idx="1">
                  <c:v>426.25</c:v>
                </c:pt>
                <c:pt idx="2">
                  <c:v>389.75</c:v>
                </c:pt>
                <c:pt idx="3">
                  <c:v>392.67</c:v>
                </c:pt>
                <c:pt idx="4">
                  <c:v>376.92</c:v>
                </c:pt>
                <c:pt idx="5">
                  <c:v>358.67</c:v>
                </c:pt>
                <c:pt idx="6">
                  <c:v>357.4</c:v>
                </c:pt>
                <c:pt idx="7">
                  <c:v>349.38</c:v>
                </c:pt>
                <c:pt idx="8">
                  <c:v>320.5</c:v>
                </c:pt>
                <c:pt idx="9">
                  <c:v>312.5</c:v>
                </c:pt>
                <c:pt idx="10">
                  <c:v>332.5</c:v>
                </c:pt>
                <c:pt idx="11">
                  <c:v>314.45</c:v>
                </c:pt>
              </c:numCache>
            </c:numRef>
          </c:val>
          <c:smooth val="0"/>
          <c:extLst>
            <c:ext xmlns:c16="http://schemas.microsoft.com/office/drawing/2014/chart" uri="{C3380CC4-5D6E-409C-BE32-E72D297353CC}">
              <c16:uniqueId val="{00000002-6546-4E8B-8998-83362B29BF51}"/>
            </c:ext>
          </c:extLst>
        </c:ser>
        <c:dLbls>
          <c:showLegendKey val="0"/>
          <c:showVal val="0"/>
          <c:showCatName val="0"/>
          <c:showSerName val="0"/>
          <c:showPercent val="0"/>
          <c:showBubbleSize val="0"/>
        </c:dLbls>
        <c:smooth val="0"/>
        <c:axId val="1945082735"/>
        <c:axId val="1"/>
      </c:lineChart>
      <c:catAx>
        <c:axId val="1945082735"/>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fr-FR"/>
                  <a:t>€/tonne</a:t>
                </a:r>
              </a:p>
            </c:rich>
          </c:tx>
          <c:layout>
            <c:manualLayout>
              <c:xMode val="edge"/>
              <c:yMode val="edge"/>
              <c:x val="5.8731128928518644E-2"/>
              <c:y val="6.356333117934726E-2"/>
            </c:manualLayout>
          </c:layout>
          <c:overlay val="0"/>
          <c:spPr>
            <a:noFill/>
            <a:ln w="25400">
              <a:noFill/>
            </a:ln>
          </c:spPr>
        </c:title>
        <c:numFmt formatCode="General" sourceLinked="1"/>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At val="0"/>
        <c:auto val="1"/>
        <c:lblAlgn val="ctr"/>
        <c:lblOffset val="100"/>
        <c:tickLblSkip val="1"/>
        <c:tickMarkSkip val="1"/>
        <c:noMultiLvlLbl val="0"/>
      </c:catAx>
      <c:valAx>
        <c:axId val="1"/>
        <c:scaling>
          <c:orientation val="minMax"/>
          <c:max val="600"/>
          <c:min val="50"/>
        </c:scaling>
        <c:delete val="0"/>
        <c:axPos val="l"/>
        <c:majorGridlines>
          <c:spPr>
            <a:ln w="3175">
              <a:solidFill>
                <a:srgbClr val="B3B3B3"/>
              </a:solidFill>
              <a:prstDash val="solid"/>
            </a:ln>
          </c:spPr>
        </c:majorGridlines>
        <c:numFmt formatCode="#,##0" sourceLinked="0"/>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945082735"/>
        <c:crossesAt val="1"/>
        <c:crossBetween val="midCat"/>
        <c:majorUnit val="100"/>
      </c:valAx>
      <c:spPr>
        <a:noFill/>
        <a:ln w="3175">
          <a:solidFill>
            <a:srgbClr val="B3B3B3"/>
          </a:solidFill>
          <a:prstDash val="solid"/>
        </a:ln>
      </c:spPr>
    </c:plotArea>
    <c:legend>
      <c:legendPos val="b"/>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fr-FR"/>
              <a:t>Evolution des cotations de colza</a:t>
            </a:r>
          </a:p>
        </c:rich>
      </c:tx>
      <c:layout>
        <c:manualLayout>
          <c:xMode val="edge"/>
          <c:yMode val="edge"/>
          <c:x val="0.24208697426541195"/>
          <c:y val="4.1883374775521481E-2"/>
        </c:manualLayout>
      </c:layout>
      <c:overlay val="0"/>
      <c:spPr>
        <a:noFill/>
        <a:ln w="25400">
          <a:noFill/>
        </a:ln>
      </c:spPr>
    </c:title>
    <c:autoTitleDeleted val="0"/>
    <c:plotArea>
      <c:layout>
        <c:manualLayout>
          <c:layoutTarget val="inner"/>
          <c:xMode val="edge"/>
          <c:yMode val="edge"/>
          <c:x val="0.13893549680693928"/>
          <c:y val="0.18775867342549726"/>
          <c:w val="0.78475682205600306"/>
          <c:h val="0.52289303467697268"/>
        </c:manualLayout>
      </c:layout>
      <c:lineChart>
        <c:grouping val="standard"/>
        <c:varyColors val="0"/>
        <c:ser>
          <c:idx val="0"/>
          <c:order val="0"/>
          <c:tx>
            <c:strRef>
              <c:f>Cotations_oleoproteagineux!$B$9</c:f>
              <c:strCache>
                <c:ptCount val="1"/>
                <c:pt idx="0">
                  <c:v>Moyenne 2019-2023</c:v>
                </c:pt>
              </c:strCache>
            </c:strRef>
          </c:tx>
          <c:spPr>
            <a:ln w="25400">
              <a:solidFill>
                <a:srgbClr val="FFD320"/>
              </a:solidFill>
              <a:prstDash val="sysDash"/>
            </a:ln>
          </c:spPr>
          <c:marker>
            <c:symbol val="none"/>
          </c:marker>
          <c:cat>
            <c:strRef>
              <c:extLst>
                <c:ext xmlns:c15="http://schemas.microsoft.com/office/drawing/2012/chart" uri="{02D57815-91ED-43cb-92C2-25804820EDAC}">
                  <c15:fullRef>
                    <c15:sqref>Cotations_oleoproteagineux!$A$10:$A$21</c15:sqref>
                  </c15:fullRef>
                </c:ext>
              </c:extLst>
              <c:f>Cotations_oleoproteagineux!$A$11:$A$21</c:f>
              <c:strCache>
                <c:ptCount val="11"/>
                <c:pt idx="0">
                  <c:v>aout</c:v>
                </c:pt>
                <c:pt idx="1">
                  <c:v>sept</c:v>
                </c:pt>
                <c:pt idx="2">
                  <c:v>oct</c:v>
                </c:pt>
                <c:pt idx="3">
                  <c:v>nov</c:v>
                </c:pt>
                <c:pt idx="4">
                  <c:v>déc</c:v>
                </c:pt>
                <c:pt idx="5">
                  <c:v>janv</c:v>
                </c:pt>
                <c:pt idx="6">
                  <c:v>fév</c:v>
                </c:pt>
                <c:pt idx="7">
                  <c:v>mars</c:v>
                </c:pt>
                <c:pt idx="8">
                  <c:v>avril</c:v>
                </c:pt>
                <c:pt idx="9">
                  <c:v>mai</c:v>
                </c:pt>
                <c:pt idx="10">
                  <c:v>juin</c:v>
                </c:pt>
              </c:strCache>
            </c:strRef>
          </c:cat>
          <c:val>
            <c:numRef>
              <c:extLst>
                <c:ext xmlns:c15="http://schemas.microsoft.com/office/drawing/2012/chart" uri="{02D57815-91ED-43cb-92C2-25804820EDAC}">
                  <c15:fullRef>
                    <c15:sqref>Cotations_oleoproteagineux!$B$10:$B$21</c15:sqref>
                  </c15:fullRef>
                </c:ext>
              </c:extLst>
              <c:f>Cotations_oleoproteagineux!$B$11:$B$21</c:f>
              <c:numCache>
                <c:formatCode>0.00</c:formatCode>
                <c:ptCount val="11"/>
                <c:pt idx="0">
                  <c:v>478.5</c:v>
                </c:pt>
                <c:pt idx="1">
                  <c:v>486.2</c:v>
                </c:pt>
                <c:pt idx="2">
                  <c:v>501.5</c:v>
                </c:pt>
                <c:pt idx="3">
                  <c:v>511</c:v>
                </c:pt>
                <c:pt idx="4">
                  <c:v>498.9</c:v>
                </c:pt>
                <c:pt idx="5">
                  <c:v>509.7</c:v>
                </c:pt>
                <c:pt idx="6">
                  <c:v>507.3</c:v>
                </c:pt>
                <c:pt idx="7">
                  <c:v>582.29999999999995</c:v>
                </c:pt>
                <c:pt idx="8">
                  <c:v>548.79999999999995</c:v>
                </c:pt>
                <c:pt idx="9">
                  <c:v>524.1</c:v>
                </c:pt>
                <c:pt idx="10">
                  <c:v>501.6</c:v>
                </c:pt>
              </c:numCache>
            </c:numRef>
          </c:val>
          <c:smooth val="0"/>
          <c:extLst>
            <c:ext xmlns:c16="http://schemas.microsoft.com/office/drawing/2014/chart" uri="{C3380CC4-5D6E-409C-BE32-E72D297353CC}">
              <c16:uniqueId val="{00000000-F952-4166-AC96-E93C7379880E}"/>
            </c:ext>
          </c:extLst>
        </c:ser>
        <c:ser>
          <c:idx val="1"/>
          <c:order val="1"/>
          <c:tx>
            <c:strRef>
              <c:f>Cotations_oleoproteagineux!$C$9</c:f>
              <c:strCache>
                <c:ptCount val="1"/>
                <c:pt idx="0">
                  <c:v>2023-2024</c:v>
                </c:pt>
              </c:strCache>
            </c:strRef>
          </c:tx>
          <c:spPr>
            <a:ln w="25400">
              <a:solidFill>
                <a:schemeClr val="tx1"/>
              </a:solidFill>
              <a:prstDash val="solid"/>
            </a:ln>
          </c:spPr>
          <c:marker>
            <c:symbol val="none"/>
          </c:marker>
          <c:cat>
            <c:strRef>
              <c:extLst>
                <c:ext xmlns:c15="http://schemas.microsoft.com/office/drawing/2012/chart" uri="{02D57815-91ED-43cb-92C2-25804820EDAC}">
                  <c15:fullRef>
                    <c15:sqref>Cotations_oleoproteagineux!$A$10:$A$21</c15:sqref>
                  </c15:fullRef>
                </c:ext>
              </c:extLst>
              <c:f>Cotations_oleoproteagineux!$A$11:$A$21</c:f>
              <c:strCache>
                <c:ptCount val="11"/>
                <c:pt idx="0">
                  <c:v>aout</c:v>
                </c:pt>
                <c:pt idx="1">
                  <c:v>sept</c:v>
                </c:pt>
                <c:pt idx="2">
                  <c:v>oct</c:v>
                </c:pt>
                <c:pt idx="3">
                  <c:v>nov</c:v>
                </c:pt>
                <c:pt idx="4">
                  <c:v>déc</c:v>
                </c:pt>
                <c:pt idx="5">
                  <c:v>janv</c:v>
                </c:pt>
                <c:pt idx="6">
                  <c:v>fév</c:v>
                </c:pt>
                <c:pt idx="7">
                  <c:v>mars</c:v>
                </c:pt>
                <c:pt idx="8">
                  <c:v>avril</c:v>
                </c:pt>
                <c:pt idx="9">
                  <c:v>mai</c:v>
                </c:pt>
                <c:pt idx="10">
                  <c:v>juin</c:v>
                </c:pt>
              </c:strCache>
            </c:strRef>
          </c:cat>
          <c:val>
            <c:numRef>
              <c:extLst>
                <c:ext xmlns:c15="http://schemas.microsoft.com/office/drawing/2012/chart" uri="{02D57815-91ED-43cb-92C2-25804820EDAC}">
                  <c15:fullRef>
                    <c15:sqref>Cotations_oleoproteagineux!$C$10:$C$21</c15:sqref>
                  </c15:fullRef>
                </c:ext>
              </c:extLst>
              <c:f>Cotations_oleoproteagineux!$C$11:$C$21</c:f>
              <c:numCache>
                <c:formatCode>0.00</c:formatCode>
                <c:ptCount val="11"/>
                <c:pt idx="0">
                  <c:v>453</c:v>
                </c:pt>
                <c:pt idx="1">
                  <c:v>458</c:v>
                </c:pt>
                <c:pt idx="2">
                  <c:v>437.38</c:v>
                </c:pt>
                <c:pt idx="3">
                  <c:v>438</c:v>
                </c:pt>
                <c:pt idx="4">
                  <c:v>428</c:v>
                </c:pt>
                <c:pt idx="5">
                  <c:v>423.125</c:v>
                </c:pt>
                <c:pt idx="6">
                  <c:v>413.6</c:v>
                </c:pt>
                <c:pt idx="7">
                  <c:v>433.5</c:v>
                </c:pt>
                <c:pt idx="8">
                  <c:v>446.88</c:v>
                </c:pt>
                <c:pt idx="9">
                  <c:v>475.67</c:v>
                </c:pt>
                <c:pt idx="10">
                  <c:v>457.17</c:v>
                </c:pt>
              </c:numCache>
            </c:numRef>
          </c:val>
          <c:smooth val="0"/>
          <c:extLst>
            <c:ext xmlns:c16="http://schemas.microsoft.com/office/drawing/2014/chart" uri="{C3380CC4-5D6E-409C-BE32-E72D297353CC}">
              <c16:uniqueId val="{00000001-F952-4166-AC96-E93C7379880E}"/>
            </c:ext>
          </c:extLst>
        </c:ser>
        <c:ser>
          <c:idx val="2"/>
          <c:order val="2"/>
          <c:tx>
            <c:strRef>
              <c:f>Cotations_oleoproteagineux!$D$9</c:f>
              <c:strCache>
                <c:ptCount val="1"/>
                <c:pt idx="0">
                  <c:v>2024-2025</c:v>
                </c:pt>
              </c:strCache>
            </c:strRef>
          </c:tx>
          <c:spPr>
            <a:ln w="25400">
              <a:solidFill>
                <a:srgbClr val="FF0000"/>
              </a:solidFill>
              <a:prstDash val="solid"/>
            </a:ln>
          </c:spPr>
          <c:marker>
            <c:symbol val="none"/>
          </c:marker>
          <c:cat>
            <c:strRef>
              <c:extLst>
                <c:ext xmlns:c15="http://schemas.microsoft.com/office/drawing/2012/chart" uri="{02D57815-91ED-43cb-92C2-25804820EDAC}">
                  <c15:fullRef>
                    <c15:sqref>Cotations_oleoproteagineux!$A$10:$A$21</c15:sqref>
                  </c15:fullRef>
                </c:ext>
              </c:extLst>
              <c:f>Cotations_oleoproteagineux!$A$11:$A$21</c:f>
              <c:strCache>
                <c:ptCount val="11"/>
                <c:pt idx="0">
                  <c:v>aout</c:v>
                </c:pt>
                <c:pt idx="1">
                  <c:v>sept</c:v>
                </c:pt>
                <c:pt idx="2">
                  <c:v>oct</c:v>
                </c:pt>
                <c:pt idx="3">
                  <c:v>nov</c:v>
                </c:pt>
                <c:pt idx="4">
                  <c:v>déc</c:v>
                </c:pt>
                <c:pt idx="5">
                  <c:v>janv</c:v>
                </c:pt>
                <c:pt idx="6">
                  <c:v>fév</c:v>
                </c:pt>
                <c:pt idx="7">
                  <c:v>mars</c:v>
                </c:pt>
                <c:pt idx="8">
                  <c:v>avril</c:v>
                </c:pt>
                <c:pt idx="9">
                  <c:v>mai</c:v>
                </c:pt>
                <c:pt idx="10">
                  <c:v>juin</c:v>
                </c:pt>
              </c:strCache>
            </c:strRef>
          </c:cat>
          <c:val>
            <c:numRef>
              <c:extLst>
                <c:ext xmlns:c15="http://schemas.microsoft.com/office/drawing/2012/chart" uri="{02D57815-91ED-43cb-92C2-25804820EDAC}">
                  <c15:fullRef>
                    <c15:sqref>Cotations_oleoproteagineux!$D$10:$D$21</c15:sqref>
                  </c15:fullRef>
                </c:ext>
              </c:extLst>
              <c:f>Cotations_oleoproteagineux!$D$11:$D$21</c:f>
              <c:numCache>
                <c:formatCode>0.00</c:formatCode>
                <c:ptCount val="11"/>
                <c:pt idx="0">
                  <c:v>461.5</c:v>
                </c:pt>
                <c:pt idx="1">
                  <c:v>469.81</c:v>
                </c:pt>
                <c:pt idx="2">
                  <c:v>498.2</c:v>
                </c:pt>
                <c:pt idx="3">
                  <c:v>520.38</c:v>
                </c:pt>
                <c:pt idx="4">
                  <c:v>522.33333333333337</c:v>
                </c:pt>
                <c:pt idx="5">
                  <c:v>525.625</c:v>
                </c:pt>
                <c:pt idx="6">
                  <c:v>523.25</c:v>
                </c:pt>
                <c:pt idx="7">
                  <c:v>493.75</c:v>
                </c:pt>
                <c:pt idx="8">
                  <c:v>493.875</c:v>
                </c:pt>
                <c:pt idx="9">
                  <c:v>483</c:v>
                </c:pt>
                <c:pt idx="10">
                  <c:v>475.63</c:v>
                </c:pt>
              </c:numCache>
            </c:numRef>
          </c:val>
          <c:smooth val="0"/>
          <c:extLst>
            <c:ext xmlns:c16="http://schemas.microsoft.com/office/drawing/2014/chart" uri="{C3380CC4-5D6E-409C-BE32-E72D297353CC}">
              <c16:uniqueId val="{00000002-F952-4166-AC96-E93C7379880E}"/>
            </c:ext>
          </c:extLst>
        </c:ser>
        <c:dLbls>
          <c:showLegendKey val="0"/>
          <c:showVal val="0"/>
          <c:showCatName val="0"/>
          <c:showSerName val="0"/>
          <c:showPercent val="0"/>
          <c:showBubbleSize val="0"/>
        </c:dLbls>
        <c:smooth val="0"/>
        <c:axId val="1866331599"/>
        <c:axId val="1"/>
      </c:lineChart>
      <c:catAx>
        <c:axId val="1866331599"/>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fr-FR"/>
                  <a:t>€/tonne</a:t>
                </a:r>
              </a:p>
            </c:rich>
          </c:tx>
          <c:layout>
            <c:manualLayout>
              <c:xMode val="edge"/>
              <c:yMode val="edge"/>
              <c:x val="7.0792722937071881E-2"/>
              <c:y val="5.9486375880646494E-2"/>
            </c:manualLayout>
          </c:layout>
          <c:overlay val="0"/>
          <c:spPr>
            <a:noFill/>
            <a:ln w="25400">
              <a:noFill/>
            </a:ln>
          </c:spPr>
        </c:title>
        <c:numFmt formatCode="General" sourceLinked="1"/>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At val="0"/>
        <c:auto val="1"/>
        <c:lblAlgn val="ctr"/>
        <c:lblOffset val="100"/>
        <c:tickLblSkip val="1"/>
        <c:tickMarkSkip val="1"/>
        <c:noMultiLvlLbl val="0"/>
      </c:catAx>
      <c:valAx>
        <c:axId val="1"/>
        <c:scaling>
          <c:orientation val="minMax"/>
          <c:max val="1100"/>
          <c:min val="300"/>
        </c:scaling>
        <c:delete val="0"/>
        <c:axPos val="l"/>
        <c:majorGridlines>
          <c:spPr>
            <a:ln w="3175">
              <a:solidFill>
                <a:srgbClr val="B3B3B3"/>
              </a:solidFill>
              <a:prstDash val="solid"/>
            </a:ln>
          </c:spPr>
        </c:majorGridlines>
        <c:numFmt formatCode="#,##0" sourceLinked="0"/>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866331599"/>
        <c:crossesAt val="1"/>
        <c:crossBetween val="midCat"/>
        <c:majorUnit val="200"/>
      </c:valAx>
      <c:spPr>
        <a:noFill/>
        <a:ln w="3175">
          <a:solidFill>
            <a:srgbClr val="B3B3B3"/>
          </a:solidFill>
          <a:prstDash val="solid"/>
        </a:ln>
      </c:spPr>
    </c:plotArea>
    <c:legend>
      <c:legendPos val="r"/>
      <c:layout>
        <c:manualLayout>
          <c:xMode val="edge"/>
          <c:yMode val="edge"/>
          <c:x val="0.10881544436724609"/>
          <c:y val="0.86322133100982901"/>
          <c:w val="0.80852814240153048"/>
          <c:h val="0.13677866899017102"/>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fr-FR"/>
              <a:t>Evolution des cotations de tournesol</a:t>
            </a:r>
          </a:p>
        </c:rich>
      </c:tx>
      <c:layout>
        <c:manualLayout>
          <c:xMode val="edge"/>
          <c:yMode val="edge"/>
          <c:x val="0.24208697426541195"/>
          <c:y val="4.1883374775521481E-2"/>
        </c:manualLayout>
      </c:layout>
      <c:overlay val="0"/>
      <c:spPr>
        <a:noFill/>
        <a:ln w="25400">
          <a:noFill/>
        </a:ln>
      </c:spPr>
    </c:title>
    <c:autoTitleDeleted val="0"/>
    <c:plotArea>
      <c:layout>
        <c:manualLayout>
          <c:layoutTarget val="inner"/>
          <c:xMode val="edge"/>
          <c:yMode val="edge"/>
          <c:x val="0.13893554631730795"/>
          <c:y val="0.19281680653713371"/>
          <c:w val="0.78475682205600306"/>
          <c:h val="0.52289303467697268"/>
        </c:manualLayout>
      </c:layout>
      <c:lineChart>
        <c:grouping val="standard"/>
        <c:varyColors val="0"/>
        <c:ser>
          <c:idx val="0"/>
          <c:order val="0"/>
          <c:tx>
            <c:strRef>
              <c:f>Cotations_oleoproteagineux!$B$26</c:f>
              <c:strCache>
                <c:ptCount val="1"/>
                <c:pt idx="0">
                  <c:v>Moyenne 2019-2023</c:v>
                </c:pt>
              </c:strCache>
            </c:strRef>
          </c:tx>
          <c:spPr>
            <a:ln w="25400">
              <a:solidFill>
                <a:srgbClr val="FFD320"/>
              </a:solidFill>
              <a:prstDash val="sysDash"/>
            </a:ln>
          </c:spPr>
          <c:marker>
            <c:symbol val="none"/>
          </c:marker>
          <c:cat>
            <c:strRef>
              <c:extLst>
                <c:ext xmlns:c15="http://schemas.microsoft.com/office/drawing/2012/chart" uri="{02D57815-91ED-43cb-92C2-25804820EDAC}">
                  <c15:fullRef>
                    <c15:sqref>Cotations_oleoproteagineux!$A$27:$A$38</c15:sqref>
                  </c15:fullRef>
                </c:ext>
              </c:extLst>
              <c:f>Cotations_oleoproteagineux!$A$28:$A$38</c:f>
              <c:strCache>
                <c:ptCount val="11"/>
                <c:pt idx="0">
                  <c:v>aout</c:v>
                </c:pt>
                <c:pt idx="1">
                  <c:v>sept</c:v>
                </c:pt>
                <c:pt idx="2">
                  <c:v>oct</c:v>
                </c:pt>
                <c:pt idx="3">
                  <c:v>nov</c:v>
                </c:pt>
                <c:pt idx="4">
                  <c:v>déc</c:v>
                </c:pt>
                <c:pt idx="5">
                  <c:v>janv</c:v>
                </c:pt>
                <c:pt idx="6">
                  <c:v>fév</c:v>
                </c:pt>
                <c:pt idx="7">
                  <c:v>mars</c:v>
                </c:pt>
                <c:pt idx="8">
                  <c:v>avril</c:v>
                </c:pt>
                <c:pt idx="9">
                  <c:v>mai</c:v>
                </c:pt>
                <c:pt idx="10">
                  <c:v>juin</c:v>
                </c:pt>
              </c:strCache>
            </c:strRef>
          </c:cat>
          <c:val>
            <c:numRef>
              <c:extLst>
                <c:ext xmlns:c15="http://schemas.microsoft.com/office/drawing/2012/chart" uri="{02D57815-91ED-43cb-92C2-25804820EDAC}">
                  <c15:fullRef>
                    <c15:sqref>Cotations_oleoproteagineux!$B$27:$B$38</c15:sqref>
                  </c15:fullRef>
                </c:ext>
              </c:extLst>
              <c:f>Cotations_oleoproteagineux!$B$28:$B$38</c:f>
              <c:numCache>
                <c:formatCode>0.00</c:formatCode>
                <c:ptCount val="11"/>
                <c:pt idx="0">
                  <c:v>450.5</c:v>
                </c:pt>
                <c:pt idx="1">
                  <c:v>448.1</c:v>
                </c:pt>
                <c:pt idx="2">
                  <c:v>477.4</c:v>
                </c:pt>
                <c:pt idx="3">
                  <c:v>489.6</c:v>
                </c:pt>
                <c:pt idx="4">
                  <c:v>478.2</c:v>
                </c:pt>
                <c:pt idx="5">
                  <c:v>486</c:v>
                </c:pt>
                <c:pt idx="6">
                  <c:v>490.4</c:v>
                </c:pt>
                <c:pt idx="7">
                  <c:v>575.79999999999995</c:v>
                </c:pt>
                <c:pt idx="8">
                  <c:v>502.3</c:v>
                </c:pt>
                <c:pt idx="9">
                  <c:v>505.2</c:v>
                </c:pt>
                <c:pt idx="10">
                  <c:v>472.7</c:v>
                </c:pt>
              </c:numCache>
            </c:numRef>
          </c:val>
          <c:smooth val="0"/>
          <c:extLst>
            <c:ext xmlns:c16="http://schemas.microsoft.com/office/drawing/2014/chart" uri="{C3380CC4-5D6E-409C-BE32-E72D297353CC}">
              <c16:uniqueId val="{00000000-77D4-4C53-B936-56CE40877B5D}"/>
            </c:ext>
          </c:extLst>
        </c:ser>
        <c:ser>
          <c:idx val="1"/>
          <c:order val="1"/>
          <c:tx>
            <c:strRef>
              <c:f>Cotations_oleoproteagineux!$C$26</c:f>
              <c:strCache>
                <c:ptCount val="1"/>
                <c:pt idx="0">
                  <c:v>2023-2024</c:v>
                </c:pt>
              </c:strCache>
            </c:strRef>
          </c:tx>
          <c:spPr>
            <a:ln w="25400">
              <a:solidFill>
                <a:schemeClr val="tx1"/>
              </a:solidFill>
              <a:prstDash val="solid"/>
            </a:ln>
          </c:spPr>
          <c:marker>
            <c:symbol val="none"/>
          </c:marker>
          <c:cat>
            <c:strRef>
              <c:extLst>
                <c:ext xmlns:c15="http://schemas.microsoft.com/office/drawing/2012/chart" uri="{02D57815-91ED-43cb-92C2-25804820EDAC}">
                  <c15:fullRef>
                    <c15:sqref>Cotations_oleoproteagineux!$A$27:$A$38</c15:sqref>
                  </c15:fullRef>
                </c:ext>
              </c:extLst>
              <c:f>Cotations_oleoproteagineux!$A$28:$A$38</c:f>
              <c:strCache>
                <c:ptCount val="11"/>
                <c:pt idx="0">
                  <c:v>aout</c:v>
                </c:pt>
                <c:pt idx="1">
                  <c:v>sept</c:v>
                </c:pt>
                <c:pt idx="2">
                  <c:v>oct</c:v>
                </c:pt>
                <c:pt idx="3">
                  <c:v>nov</c:v>
                </c:pt>
                <c:pt idx="4">
                  <c:v>déc</c:v>
                </c:pt>
                <c:pt idx="5">
                  <c:v>janv</c:v>
                </c:pt>
                <c:pt idx="6">
                  <c:v>fév</c:v>
                </c:pt>
                <c:pt idx="7">
                  <c:v>mars</c:v>
                </c:pt>
                <c:pt idx="8">
                  <c:v>avril</c:v>
                </c:pt>
                <c:pt idx="9">
                  <c:v>mai</c:v>
                </c:pt>
                <c:pt idx="10">
                  <c:v>juin</c:v>
                </c:pt>
              </c:strCache>
            </c:strRef>
          </c:cat>
          <c:val>
            <c:numRef>
              <c:extLst>
                <c:ext xmlns:c15="http://schemas.microsoft.com/office/drawing/2012/chart" uri="{02D57815-91ED-43cb-92C2-25804820EDAC}">
                  <c15:fullRef>
                    <c15:sqref>Cotations_oleoproteagineux!$C$27:$C$38</c15:sqref>
                  </c15:fullRef>
                </c:ext>
              </c:extLst>
              <c:f>Cotations_oleoproteagineux!$C$28:$C$38</c:f>
              <c:numCache>
                <c:formatCode>0.00</c:formatCode>
                <c:ptCount val="11"/>
                <c:pt idx="0">
                  <c:v>441.67</c:v>
                </c:pt>
                <c:pt idx="1">
                  <c:v>418.13</c:v>
                </c:pt>
                <c:pt idx="2">
                  <c:v>406.25</c:v>
                </c:pt>
                <c:pt idx="3">
                  <c:v>417.5</c:v>
                </c:pt>
                <c:pt idx="4">
                  <c:v>422.5</c:v>
                </c:pt>
                <c:pt idx="5">
                  <c:v>406.25</c:v>
                </c:pt>
                <c:pt idx="6">
                  <c:v>398</c:v>
                </c:pt>
                <c:pt idx="7">
                  <c:v>405</c:v>
                </c:pt>
                <c:pt idx="8">
                  <c:v>411.88</c:v>
                </c:pt>
                <c:pt idx="9">
                  <c:v>439.17</c:v>
                </c:pt>
                <c:pt idx="10">
                  <c:v>441.67</c:v>
                </c:pt>
              </c:numCache>
            </c:numRef>
          </c:val>
          <c:smooth val="0"/>
          <c:extLst>
            <c:ext xmlns:c16="http://schemas.microsoft.com/office/drawing/2014/chart" uri="{C3380CC4-5D6E-409C-BE32-E72D297353CC}">
              <c16:uniqueId val="{00000001-77D4-4C53-B936-56CE40877B5D}"/>
            </c:ext>
          </c:extLst>
        </c:ser>
        <c:ser>
          <c:idx val="2"/>
          <c:order val="2"/>
          <c:tx>
            <c:strRef>
              <c:f>Cotations_oleoproteagineux!$D$26</c:f>
              <c:strCache>
                <c:ptCount val="1"/>
                <c:pt idx="0">
                  <c:v>2024-2025</c:v>
                </c:pt>
              </c:strCache>
            </c:strRef>
          </c:tx>
          <c:spPr>
            <a:ln w="25400">
              <a:solidFill>
                <a:srgbClr val="FF0000"/>
              </a:solidFill>
              <a:prstDash val="solid"/>
            </a:ln>
          </c:spPr>
          <c:marker>
            <c:symbol val="none"/>
          </c:marker>
          <c:cat>
            <c:strRef>
              <c:extLst>
                <c:ext xmlns:c15="http://schemas.microsoft.com/office/drawing/2012/chart" uri="{02D57815-91ED-43cb-92C2-25804820EDAC}">
                  <c15:fullRef>
                    <c15:sqref>Cotations_oleoproteagineux!$A$27:$A$38</c15:sqref>
                  </c15:fullRef>
                </c:ext>
              </c:extLst>
              <c:f>Cotations_oleoproteagineux!$A$28:$A$38</c:f>
              <c:strCache>
                <c:ptCount val="11"/>
                <c:pt idx="0">
                  <c:v>aout</c:v>
                </c:pt>
                <c:pt idx="1">
                  <c:v>sept</c:v>
                </c:pt>
                <c:pt idx="2">
                  <c:v>oct</c:v>
                </c:pt>
                <c:pt idx="3">
                  <c:v>nov</c:v>
                </c:pt>
                <c:pt idx="4">
                  <c:v>déc</c:v>
                </c:pt>
                <c:pt idx="5">
                  <c:v>janv</c:v>
                </c:pt>
                <c:pt idx="6">
                  <c:v>fév</c:v>
                </c:pt>
                <c:pt idx="7">
                  <c:v>mars</c:v>
                </c:pt>
                <c:pt idx="8">
                  <c:v>avril</c:v>
                </c:pt>
                <c:pt idx="9">
                  <c:v>mai</c:v>
                </c:pt>
                <c:pt idx="10">
                  <c:v>juin</c:v>
                </c:pt>
              </c:strCache>
            </c:strRef>
          </c:cat>
          <c:val>
            <c:numRef>
              <c:extLst>
                <c:ext xmlns:c15="http://schemas.microsoft.com/office/drawing/2012/chart" uri="{02D57815-91ED-43cb-92C2-25804820EDAC}">
                  <c15:fullRef>
                    <c15:sqref>Cotations_oleoproteagineux!$D$27:$D$38</c15:sqref>
                  </c15:fullRef>
                </c:ext>
              </c:extLst>
              <c:f>Cotations_oleoproteagineux!$D$28:$D$38</c:f>
              <c:numCache>
                <c:formatCode>0.00</c:formatCode>
                <c:ptCount val="11"/>
                <c:pt idx="0">
                  <c:v>464.17</c:v>
                </c:pt>
                <c:pt idx="1">
                  <c:v>467.5</c:v>
                </c:pt>
                <c:pt idx="2">
                  <c:v>536.25</c:v>
                </c:pt>
                <c:pt idx="3">
                  <c:v>553.75</c:v>
                </c:pt>
                <c:pt idx="4">
                  <c:v>538.33333333333337</c:v>
                </c:pt>
                <c:pt idx="5">
                  <c:v>533.75</c:v>
                </c:pt>
                <c:pt idx="6">
                  <c:v>538.75</c:v>
                </c:pt>
                <c:pt idx="8">
                  <c:v>457.5</c:v>
                </c:pt>
                <c:pt idx="9">
                  <c:v>427.5</c:v>
                </c:pt>
                <c:pt idx="10">
                  <c:v>431.25</c:v>
                </c:pt>
              </c:numCache>
            </c:numRef>
          </c:val>
          <c:smooth val="0"/>
          <c:extLst>
            <c:ext xmlns:c16="http://schemas.microsoft.com/office/drawing/2014/chart" uri="{C3380CC4-5D6E-409C-BE32-E72D297353CC}">
              <c16:uniqueId val="{00000002-77D4-4C53-B936-56CE40877B5D}"/>
            </c:ext>
          </c:extLst>
        </c:ser>
        <c:dLbls>
          <c:showLegendKey val="0"/>
          <c:showVal val="0"/>
          <c:showCatName val="0"/>
          <c:showSerName val="0"/>
          <c:showPercent val="0"/>
          <c:showBubbleSize val="0"/>
        </c:dLbls>
        <c:smooth val="0"/>
        <c:axId val="1866331599"/>
        <c:axId val="1"/>
      </c:lineChart>
      <c:catAx>
        <c:axId val="1866331599"/>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fr-FR"/>
                  <a:t>€/tonne</a:t>
                </a:r>
              </a:p>
            </c:rich>
          </c:tx>
          <c:layout>
            <c:manualLayout>
              <c:xMode val="edge"/>
              <c:yMode val="edge"/>
              <c:x val="7.0792722937071881E-2"/>
              <c:y val="5.9486375880646494E-2"/>
            </c:manualLayout>
          </c:layout>
          <c:overlay val="0"/>
          <c:spPr>
            <a:noFill/>
            <a:ln w="25400">
              <a:noFill/>
            </a:ln>
          </c:spPr>
        </c:title>
        <c:numFmt formatCode="General" sourceLinked="1"/>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At val="0"/>
        <c:auto val="1"/>
        <c:lblAlgn val="ctr"/>
        <c:lblOffset val="100"/>
        <c:tickLblSkip val="1"/>
        <c:tickMarkSkip val="1"/>
        <c:noMultiLvlLbl val="0"/>
      </c:catAx>
      <c:valAx>
        <c:axId val="1"/>
        <c:scaling>
          <c:orientation val="minMax"/>
          <c:max val="900"/>
          <c:min val="300"/>
        </c:scaling>
        <c:delete val="0"/>
        <c:axPos val="l"/>
        <c:majorGridlines>
          <c:spPr>
            <a:ln w="3175">
              <a:solidFill>
                <a:srgbClr val="B3B3B3"/>
              </a:solidFill>
              <a:prstDash val="solid"/>
            </a:ln>
          </c:spPr>
        </c:majorGridlines>
        <c:numFmt formatCode="#,##0" sourceLinked="0"/>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866331599"/>
        <c:crossesAt val="1"/>
        <c:crossBetween val="midCat"/>
        <c:majorUnit val="200"/>
      </c:valAx>
      <c:spPr>
        <a:noFill/>
        <a:ln w="3175">
          <a:solidFill>
            <a:srgbClr val="B3B3B3"/>
          </a:solidFill>
          <a:prstDash val="solid"/>
        </a:ln>
      </c:spPr>
    </c:plotArea>
    <c:legend>
      <c:legendPos val="b"/>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Evolution des surfaces de blé en Occitanie</a:t>
            </a:r>
          </a:p>
        </c:rich>
      </c:tx>
      <c:overlay val="0"/>
      <c:spPr>
        <a:noFill/>
        <a:ln w="25400">
          <a:noFill/>
        </a:ln>
      </c:spPr>
    </c:title>
    <c:autoTitleDeleted val="0"/>
    <c:plotArea>
      <c:layout>
        <c:manualLayout>
          <c:layoutTarget val="inner"/>
          <c:xMode val="edge"/>
          <c:yMode val="edge"/>
          <c:x val="0.14242743158182183"/>
          <c:y val="0.1156879643775871"/>
          <c:w val="0.82950174747372851"/>
          <c:h val="0.60684928376490255"/>
        </c:manualLayout>
      </c:layout>
      <c:lineChart>
        <c:grouping val="standard"/>
        <c:varyColors val="0"/>
        <c:ser>
          <c:idx val="0"/>
          <c:order val="0"/>
          <c:tx>
            <c:strRef>
              <c:f>'Evol.sole-régionale_Blés'!$A$11</c:f>
              <c:strCache>
                <c:ptCount val="1"/>
                <c:pt idx="0">
                  <c:v>Blé tendre</c:v>
                </c:pt>
              </c:strCache>
            </c:strRef>
          </c:tx>
          <c:spPr>
            <a:ln w="25400">
              <a:solidFill>
                <a:srgbClr val="804C19"/>
              </a:solidFill>
              <a:prstDash val="solid"/>
            </a:ln>
          </c:spPr>
          <c:marker>
            <c:symbol val="none"/>
          </c:marker>
          <c:cat>
            <c:numRef>
              <c:f>'Evol.sole-régionale_Blés'!$B$10:$Y$10</c:f>
              <c:numCache>
                <c:formatCode>yyyy</c:formatCode>
                <c:ptCount val="24"/>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42737</c:v>
                </c:pt>
                <c:pt idx="18">
                  <c:v>43103</c:v>
                </c:pt>
                <c:pt idx="19">
                  <c:v>43468</c:v>
                </c:pt>
                <c:pt idx="20">
                  <c:v>43832</c:v>
                </c:pt>
                <c:pt idx="21" formatCode="@">
                  <c:v>2021</c:v>
                </c:pt>
                <c:pt idx="22" formatCode="0">
                  <c:v>2022</c:v>
                </c:pt>
                <c:pt idx="23" formatCode="0">
                  <c:v>2023</c:v>
                </c:pt>
              </c:numCache>
            </c:numRef>
          </c:cat>
          <c:val>
            <c:numRef>
              <c:f>'Evol.sole-régionale_Blés'!$B$11:$Y$11</c:f>
              <c:numCache>
                <c:formatCode>#\ ##0\ </c:formatCode>
                <c:ptCount val="24"/>
                <c:pt idx="0">
                  <c:v>235.54</c:v>
                </c:pt>
                <c:pt idx="1">
                  <c:v>216.422</c:v>
                </c:pt>
                <c:pt idx="2">
                  <c:v>227.13</c:v>
                </c:pt>
                <c:pt idx="3">
                  <c:v>184.06</c:v>
                </c:pt>
                <c:pt idx="4">
                  <c:v>221.899</c:v>
                </c:pt>
                <c:pt idx="5">
                  <c:v>204.197</c:v>
                </c:pt>
                <c:pt idx="6">
                  <c:v>213.56</c:v>
                </c:pt>
                <c:pt idx="7">
                  <c:v>215.636</c:v>
                </c:pt>
                <c:pt idx="8">
                  <c:v>243.68899999999999</c:v>
                </c:pt>
                <c:pt idx="9">
                  <c:v>195.345</c:v>
                </c:pt>
                <c:pt idx="10">
                  <c:v>239.19900000000001</c:v>
                </c:pt>
                <c:pt idx="11">
                  <c:v>243.29599999999999</c:v>
                </c:pt>
                <c:pt idx="12">
                  <c:v>258.57299999999998</c:v>
                </c:pt>
                <c:pt idx="13">
                  <c:v>285.07799999999997</c:v>
                </c:pt>
                <c:pt idx="14" formatCode="#,##0">
                  <c:v>296</c:v>
                </c:pt>
                <c:pt idx="15" formatCode="#,##0">
                  <c:v>294</c:v>
                </c:pt>
                <c:pt idx="16" formatCode="#,##0">
                  <c:v>278</c:v>
                </c:pt>
                <c:pt idx="17" formatCode="#,##0">
                  <c:v>265</c:v>
                </c:pt>
                <c:pt idx="18" formatCode="#,##0">
                  <c:v>268</c:v>
                </c:pt>
                <c:pt idx="19" formatCode="#,##0">
                  <c:v>287</c:v>
                </c:pt>
                <c:pt idx="20" formatCode="#,##0">
                  <c:v>222</c:v>
                </c:pt>
                <c:pt idx="21" formatCode="#,##0">
                  <c:v>277.5</c:v>
                </c:pt>
                <c:pt idx="22" formatCode="0">
                  <c:v>244</c:v>
                </c:pt>
                <c:pt idx="23" formatCode="0">
                  <c:v>268</c:v>
                </c:pt>
              </c:numCache>
            </c:numRef>
          </c:val>
          <c:smooth val="0"/>
          <c:extLst>
            <c:ext xmlns:c16="http://schemas.microsoft.com/office/drawing/2014/chart" uri="{C3380CC4-5D6E-409C-BE32-E72D297353CC}">
              <c16:uniqueId val="{00000000-AE17-4DE5-86D8-B547BAC44A39}"/>
            </c:ext>
          </c:extLst>
        </c:ser>
        <c:ser>
          <c:idx val="1"/>
          <c:order val="1"/>
          <c:tx>
            <c:strRef>
              <c:f>'Evol.sole-régionale_Blés'!$A$12</c:f>
              <c:strCache>
                <c:ptCount val="1"/>
                <c:pt idx="0">
                  <c:v>Blé dur</c:v>
                </c:pt>
              </c:strCache>
            </c:strRef>
          </c:tx>
          <c:marker>
            <c:symbol val="none"/>
          </c:marker>
          <c:cat>
            <c:numRef>
              <c:f>'Evol.sole-régionale_Blés'!$B$10:$Y$10</c:f>
              <c:numCache>
                <c:formatCode>yyyy</c:formatCode>
                <c:ptCount val="24"/>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42737</c:v>
                </c:pt>
                <c:pt idx="18">
                  <c:v>43103</c:v>
                </c:pt>
                <c:pt idx="19">
                  <c:v>43468</c:v>
                </c:pt>
                <c:pt idx="20">
                  <c:v>43832</c:v>
                </c:pt>
                <c:pt idx="21" formatCode="@">
                  <c:v>2021</c:v>
                </c:pt>
                <c:pt idx="22" formatCode="0">
                  <c:v>2022</c:v>
                </c:pt>
                <c:pt idx="23" formatCode="0">
                  <c:v>2023</c:v>
                </c:pt>
              </c:numCache>
            </c:numRef>
          </c:cat>
          <c:val>
            <c:numRef>
              <c:f>'Evol.sole-régionale_Blés'!$B$12:$Y$12</c:f>
              <c:numCache>
                <c:formatCode>#\ ##0\ </c:formatCode>
                <c:ptCount val="24"/>
                <c:pt idx="0">
                  <c:v>176.941</c:v>
                </c:pt>
                <c:pt idx="1">
                  <c:v>172.572</c:v>
                </c:pt>
                <c:pt idx="2">
                  <c:v>187.00700000000001</c:v>
                </c:pt>
                <c:pt idx="3">
                  <c:v>184.81800000000001</c:v>
                </c:pt>
                <c:pt idx="4">
                  <c:v>217.56299999999999</c:v>
                </c:pt>
                <c:pt idx="5">
                  <c:v>229.52</c:v>
                </c:pt>
                <c:pt idx="6">
                  <c:v>209.15100000000001</c:v>
                </c:pt>
                <c:pt idx="7">
                  <c:v>212.74600000000001</c:v>
                </c:pt>
                <c:pt idx="8">
                  <c:v>204.92</c:v>
                </c:pt>
                <c:pt idx="9">
                  <c:v>179.42500000000001</c:v>
                </c:pt>
                <c:pt idx="10">
                  <c:v>203.59700000000001</c:v>
                </c:pt>
                <c:pt idx="11">
                  <c:v>172.60400000000001</c:v>
                </c:pt>
                <c:pt idx="12">
                  <c:v>181.43700000000001</c:v>
                </c:pt>
                <c:pt idx="13">
                  <c:v>144.184</c:v>
                </c:pt>
                <c:pt idx="14" formatCode="#,##0">
                  <c:v>113.7</c:v>
                </c:pt>
                <c:pt idx="15" formatCode="#,##0">
                  <c:v>129</c:v>
                </c:pt>
                <c:pt idx="16" formatCode="#,##0">
                  <c:v>149</c:v>
                </c:pt>
                <c:pt idx="17" formatCode="#,##0">
                  <c:v>142</c:v>
                </c:pt>
                <c:pt idx="18" formatCode="#,##0">
                  <c:v>139</c:v>
                </c:pt>
                <c:pt idx="19" formatCode="#,##0">
                  <c:v>88</c:v>
                </c:pt>
                <c:pt idx="20" formatCode="#,##0">
                  <c:v>85</c:v>
                </c:pt>
                <c:pt idx="21" formatCode="#,##0">
                  <c:v>95.5</c:v>
                </c:pt>
                <c:pt idx="22" formatCode="0">
                  <c:v>85.4</c:v>
                </c:pt>
                <c:pt idx="23" formatCode="0">
                  <c:v>86</c:v>
                </c:pt>
              </c:numCache>
            </c:numRef>
          </c:val>
          <c:smooth val="0"/>
          <c:extLst>
            <c:ext xmlns:c16="http://schemas.microsoft.com/office/drawing/2014/chart" uri="{C3380CC4-5D6E-409C-BE32-E72D297353CC}">
              <c16:uniqueId val="{00000001-AE17-4DE5-86D8-B547BAC44A39}"/>
            </c:ext>
          </c:extLst>
        </c:ser>
        <c:dLbls>
          <c:showLegendKey val="0"/>
          <c:showVal val="0"/>
          <c:showCatName val="0"/>
          <c:showSerName val="0"/>
          <c:showPercent val="0"/>
          <c:showBubbleSize val="0"/>
        </c:dLbls>
        <c:smooth val="0"/>
        <c:axId val="1945084399"/>
        <c:axId val="1"/>
      </c:lineChart>
      <c:catAx>
        <c:axId val="1945084399"/>
        <c:scaling>
          <c:orientation val="minMax"/>
        </c:scaling>
        <c:delete val="0"/>
        <c:axPos val="b"/>
        <c:numFmt formatCode="yyyy" sourceLinked="1"/>
        <c:majorTickMark val="out"/>
        <c:minorTickMark val="out"/>
        <c:tickLblPos val="nextTo"/>
        <c:spPr>
          <a:ln w="25400">
            <a:solidFill>
              <a:srgbClr val="B3B3B3"/>
            </a:solidFill>
            <a:prstDash val="solid"/>
          </a:ln>
        </c:spPr>
        <c:txPr>
          <a:bodyPr rot="-3660000" vert="horz"/>
          <a:lstStyle/>
          <a:p>
            <a:pPr>
              <a:defRPr sz="800" b="0" i="0" u="none" strike="noStrike" baseline="0">
                <a:solidFill>
                  <a:srgbClr val="000000"/>
                </a:solidFill>
                <a:latin typeface="Arial"/>
                <a:ea typeface="Arial"/>
                <a:cs typeface="Arial"/>
              </a:defRPr>
            </a:pPr>
            <a:endParaRPr lang="en-US"/>
          </a:p>
        </c:txPr>
        <c:crossAx val="1"/>
        <c:crossesAt val="0"/>
        <c:auto val="0"/>
        <c:lblAlgn val="ctr"/>
        <c:lblOffset val="100"/>
        <c:tickLblSkip val="1"/>
        <c:tickMarkSkip val="2"/>
        <c:noMultiLvlLbl val="1"/>
      </c:catAx>
      <c:valAx>
        <c:axId val="1"/>
        <c:scaling>
          <c:orientation val="minMax"/>
          <c:max val="350"/>
          <c:min val="50"/>
        </c:scaling>
        <c:delete val="0"/>
        <c:axPos val="l"/>
        <c:majorGridlines>
          <c:spPr>
            <a:ln w="25400">
              <a:solidFill>
                <a:srgbClr val="B3B3B3"/>
              </a:solidFill>
              <a:prstDash val="solid"/>
            </a:ln>
          </c:spPr>
        </c:majorGridlines>
        <c:title>
          <c:tx>
            <c:rich>
              <a:bodyPr/>
              <a:lstStyle/>
              <a:p>
                <a:pPr>
                  <a:defRPr/>
                </a:pPr>
                <a:r>
                  <a:rPr lang="en-US"/>
                  <a:t>Surface (Milliers d'hectares)</a:t>
                </a:r>
              </a:p>
            </c:rich>
          </c:tx>
          <c:overlay val="0"/>
          <c:spPr>
            <a:noFill/>
            <a:ln w="25400">
              <a:noFill/>
            </a:ln>
          </c:spPr>
        </c:title>
        <c:numFmt formatCode="#\ ##0\ " sourceLinked="1"/>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945084399"/>
        <c:crosses val="autoZero"/>
        <c:crossBetween val="midCat"/>
        <c:majorUnit val="30"/>
        <c:minorUnit val="15"/>
      </c:valAx>
      <c:spPr>
        <a:noFill/>
        <a:ln w="3175">
          <a:solidFill>
            <a:srgbClr val="B3B3B3"/>
          </a:solidFill>
          <a:prstDash val="solid"/>
        </a:ln>
      </c:spPr>
    </c:plotArea>
    <c:legend>
      <c:legendPos val="r"/>
      <c:layout>
        <c:manualLayout>
          <c:xMode val="edge"/>
          <c:yMode val="edge"/>
          <c:x val="0"/>
          <c:y val="0.85243141249134902"/>
          <c:w val="0.20735485686304711"/>
          <c:h val="0.1467709119415169"/>
        </c:manualLayout>
      </c:layout>
      <c:overlay val="0"/>
      <c:spPr>
        <a:noFill/>
        <a:ln w="25400">
          <a:noFill/>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381507583395973E-2"/>
          <c:y val="0.12422795875925961"/>
          <c:w val="0.86046597745183517"/>
          <c:h val="0.68014807420694634"/>
        </c:manualLayout>
      </c:layout>
      <c:barChart>
        <c:barDir val="col"/>
        <c:grouping val="clustered"/>
        <c:varyColors val="0"/>
        <c:ser>
          <c:idx val="0"/>
          <c:order val="0"/>
          <c:tx>
            <c:strRef>
              <c:f>'Evol.sole-régionale_Blés'!$A$54</c:f>
              <c:strCache>
                <c:ptCount val="1"/>
                <c:pt idx="0">
                  <c:v>Haute-Garonne </c:v>
                </c:pt>
              </c:strCache>
            </c:strRef>
          </c:tx>
          <c:spPr>
            <a:solidFill>
              <a:srgbClr val="FFD320"/>
            </a:solidFill>
            <a:ln w="25400">
              <a:noFill/>
            </a:ln>
          </c:spPr>
          <c:invertIfNegative val="0"/>
          <c:cat>
            <c:strRef>
              <c:f>'Evol.sole-régionale_Blés'!$B$51:$P$51</c:f>
              <c:strCach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Moyenne2018/2022</c:v>
                </c:pt>
              </c:strCache>
            </c:strRef>
          </c:cat>
          <c:val>
            <c:numRef>
              <c:f>'Evol.sole-régionale_Blés'!$B$54:$P$54</c:f>
              <c:numCache>
                <c:formatCode>#\ ##0\ </c:formatCode>
                <c:ptCount val="15"/>
                <c:pt idx="0">
                  <c:v>60.5</c:v>
                </c:pt>
                <c:pt idx="1">
                  <c:v>50.631</c:v>
                </c:pt>
                <c:pt idx="2">
                  <c:v>55.545000000000002</c:v>
                </c:pt>
                <c:pt idx="3">
                  <c:v>44.496000000000002</c:v>
                </c:pt>
                <c:pt idx="4">
                  <c:v>33.299999999999997</c:v>
                </c:pt>
                <c:pt idx="5">
                  <c:v>43</c:v>
                </c:pt>
                <c:pt idx="6">
                  <c:v>48</c:v>
                </c:pt>
                <c:pt idx="7">
                  <c:v>48</c:v>
                </c:pt>
                <c:pt idx="8">
                  <c:v>47</c:v>
                </c:pt>
                <c:pt idx="9">
                  <c:v>31</c:v>
                </c:pt>
                <c:pt idx="10">
                  <c:v>31</c:v>
                </c:pt>
                <c:pt idx="11">
                  <c:v>33</c:v>
                </c:pt>
                <c:pt idx="12">
                  <c:v>29</c:v>
                </c:pt>
                <c:pt idx="13">
                  <c:v>29</c:v>
                </c:pt>
                <c:pt idx="14">
                  <c:v>34.200000000000003</c:v>
                </c:pt>
              </c:numCache>
            </c:numRef>
          </c:val>
          <c:extLst>
            <c:ext xmlns:c16="http://schemas.microsoft.com/office/drawing/2014/chart" uri="{C3380CC4-5D6E-409C-BE32-E72D297353CC}">
              <c16:uniqueId val="{00000000-8790-4BFC-A4C8-7616394C1A34}"/>
            </c:ext>
          </c:extLst>
        </c:ser>
        <c:ser>
          <c:idx val="1"/>
          <c:order val="1"/>
          <c:tx>
            <c:strRef>
              <c:f>'Evol.sole-régionale_Blés'!$A$55</c:f>
              <c:strCache>
                <c:ptCount val="1"/>
                <c:pt idx="0">
                  <c:v> Aude</c:v>
                </c:pt>
              </c:strCache>
            </c:strRef>
          </c:tx>
          <c:spPr>
            <a:solidFill>
              <a:srgbClr val="804C19"/>
            </a:solidFill>
            <a:ln w="25400">
              <a:noFill/>
            </a:ln>
          </c:spPr>
          <c:invertIfNegative val="0"/>
          <c:cat>
            <c:strRef>
              <c:f>'Evol.sole-régionale_Blés'!$B$51:$P$51</c:f>
              <c:strCach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Moyenne2018/2022</c:v>
                </c:pt>
              </c:strCache>
            </c:strRef>
          </c:cat>
          <c:val>
            <c:numRef>
              <c:f>'Evol.sole-régionale_Blés'!$B$55:$P$55</c:f>
              <c:numCache>
                <c:formatCode>#\ ##0\ </c:formatCode>
                <c:ptCount val="15"/>
                <c:pt idx="0">
                  <c:v>40.695</c:v>
                </c:pt>
                <c:pt idx="1">
                  <c:v>37.28</c:v>
                </c:pt>
                <c:pt idx="2">
                  <c:v>37.21</c:v>
                </c:pt>
                <c:pt idx="3">
                  <c:v>33.299999999999997</c:v>
                </c:pt>
                <c:pt idx="4">
                  <c:v>29.7</c:v>
                </c:pt>
                <c:pt idx="5">
                  <c:v>32</c:v>
                </c:pt>
                <c:pt idx="6">
                  <c:v>34</c:v>
                </c:pt>
                <c:pt idx="7">
                  <c:v>31</c:v>
                </c:pt>
                <c:pt idx="8">
                  <c:v>30</c:v>
                </c:pt>
                <c:pt idx="9">
                  <c:v>22</c:v>
                </c:pt>
                <c:pt idx="10">
                  <c:v>22</c:v>
                </c:pt>
                <c:pt idx="11">
                  <c:v>22</c:v>
                </c:pt>
                <c:pt idx="12">
                  <c:v>20</c:v>
                </c:pt>
                <c:pt idx="13">
                  <c:v>20</c:v>
                </c:pt>
                <c:pt idx="14">
                  <c:v>23.2</c:v>
                </c:pt>
              </c:numCache>
            </c:numRef>
          </c:val>
          <c:extLst>
            <c:ext xmlns:c16="http://schemas.microsoft.com/office/drawing/2014/chart" uri="{C3380CC4-5D6E-409C-BE32-E72D297353CC}">
              <c16:uniqueId val="{00000001-8790-4BFC-A4C8-7616394C1A34}"/>
            </c:ext>
          </c:extLst>
        </c:ser>
        <c:ser>
          <c:idx val="2"/>
          <c:order val="2"/>
          <c:tx>
            <c:strRef>
              <c:f>'Evol.sole-régionale_Blés'!$A$56</c:f>
              <c:strCache>
                <c:ptCount val="1"/>
                <c:pt idx="0">
                  <c:v> Gers</c:v>
                </c:pt>
              </c:strCache>
            </c:strRef>
          </c:tx>
          <c:spPr>
            <a:solidFill>
              <a:srgbClr val="7F9900"/>
            </a:solidFill>
            <a:ln w="25400">
              <a:noFill/>
            </a:ln>
          </c:spPr>
          <c:invertIfNegative val="0"/>
          <c:cat>
            <c:strRef>
              <c:f>'Evol.sole-régionale_Blés'!$B$51:$P$51</c:f>
              <c:strCach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Moyenne2018/2022</c:v>
                </c:pt>
              </c:strCache>
            </c:strRef>
          </c:cat>
          <c:val>
            <c:numRef>
              <c:f>'Evol.sole-régionale_Blés'!$B$56:$P$56</c:f>
              <c:numCache>
                <c:formatCode>#\ ##0\ </c:formatCode>
                <c:ptCount val="15"/>
                <c:pt idx="0">
                  <c:v>35.47</c:v>
                </c:pt>
                <c:pt idx="1">
                  <c:v>27.812999999999999</c:v>
                </c:pt>
                <c:pt idx="2">
                  <c:v>29.943999999999999</c:v>
                </c:pt>
                <c:pt idx="3">
                  <c:v>19.977</c:v>
                </c:pt>
                <c:pt idx="4">
                  <c:v>10.9</c:v>
                </c:pt>
                <c:pt idx="5">
                  <c:v>15</c:v>
                </c:pt>
                <c:pt idx="6">
                  <c:v>18</c:v>
                </c:pt>
                <c:pt idx="7">
                  <c:v>17</c:v>
                </c:pt>
                <c:pt idx="8">
                  <c:v>18</c:v>
                </c:pt>
                <c:pt idx="9">
                  <c:v>8</c:v>
                </c:pt>
                <c:pt idx="10">
                  <c:v>9</c:v>
                </c:pt>
                <c:pt idx="11">
                  <c:v>11</c:v>
                </c:pt>
                <c:pt idx="12">
                  <c:v>11</c:v>
                </c:pt>
                <c:pt idx="13">
                  <c:v>12</c:v>
                </c:pt>
                <c:pt idx="14">
                  <c:v>11.4</c:v>
                </c:pt>
              </c:numCache>
            </c:numRef>
          </c:val>
          <c:extLst>
            <c:ext xmlns:c16="http://schemas.microsoft.com/office/drawing/2014/chart" uri="{C3380CC4-5D6E-409C-BE32-E72D297353CC}">
              <c16:uniqueId val="{00000002-8790-4BFC-A4C8-7616394C1A34}"/>
            </c:ext>
          </c:extLst>
        </c:ser>
        <c:ser>
          <c:idx val="3"/>
          <c:order val="3"/>
          <c:tx>
            <c:strRef>
              <c:f>'Evol.sole-régionale_Blés'!$A$57</c:f>
              <c:strCache>
                <c:ptCount val="1"/>
                <c:pt idx="0">
                  <c:v>Gard</c:v>
                </c:pt>
              </c:strCache>
            </c:strRef>
          </c:tx>
          <c:spPr>
            <a:solidFill>
              <a:srgbClr val="4472C4"/>
            </a:solidFill>
            <a:ln w="25400">
              <a:noFill/>
            </a:ln>
          </c:spPr>
          <c:invertIfNegative val="0"/>
          <c:cat>
            <c:strRef>
              <c:f>'Evol.sole-régionale_Blés'!$B$51:$P$51</c:f>
              <c:strCach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Moyenne2018/2022</c:v>
                </c:pt>
              </c:strCache>
            </c:strRef>
          </c:cat>
          <c:val>
            <c:numRef>
              <c:f>'Evol.sole-régionale_Blés'!$B$57:$P$57</c:f>
              <c:numCache>
                <c:formatCode>#\ ##0\ </c:formatCode>
                <c:ptCount val="15"/>
                <c:pt idx="0">
                  <c:v>21.754999999999999</c:v>
                </c:pt>
                <c:pt idx="1">
                  <c:v>17.885000000000002</c:v>
                </c:pt>
                <c:pt idx="2">
                  <c:v>17.445</c:v>
                </c:pt>
                <c:pt idx="3">
                  <c:v>15.1</c:v>
                </c:pt>
                <c:pt idx="4">
                  <c:v>15.3</c:v>
                </c:pt>
                <c:pt idx="5">
                  <c:v>13</c:v>
                </c:pt>
                <c:pt idx="6">
                  <c:v>16</c:v>
                </c:pt>
                <c:pt idx="7">
                  <c:v>13</c:v>
                </c:pt>
                <c:pt idx="8">
                  <c:v>12</c:v>
                </c:pt>
                <c:pt idx="9">
                  <c:v>8</c:v>
                </c:pt>
                <c:pt idx="10">
                  <c:v>7</c:v>
                </c:pt>
                <c:pt idx="11">
                  <c:v>9</c:v>
                </c:pt>
                <c:pt idx="12">
                  <c:v>9</c:v>
                </c:pt>
                <c:pt idx="13">
                  <c:v>9</c:v>
                </c:pt>
                <c:pt idx="14">
                  <c:v>9</c:v>
                </c:pt>
              </c:numCache>
            </c:numRef>
          </c:val>
          <c:extLst>
            <c:ext xmlns:c16="http://schemas.microsoft.com/office/drawing/2014/chart" uri="{C3380CC4-5D6E-409C-BE32-E72D297353CC}">
              <c16:uniqueId val="{00000003-8790-4BFC-A4C8-7616394C1A34}"/>
            </c:ext>
          </c:extLst>
        </c:ser>
        <c:dLbls>
          <c:showLegendKey val="0"/>
          <c:showVal val="0"/>
          <c:showCatName val="0"/>
          <c:showSerName val="0"/>
          <c:showPercent val="0"/>
          <c:showBubbleSize val="0"/>
        </c:dLbls>
        <c:gapWidth val="10"/>
        <c:axId val="1945078575"/>
        <c:axId val="1"/>
      </c:barChart>
      <c:catAx>
        <c:axId val="1945078575"/>
        <c:scaling>
          <c:orientation val="minMax"/>
        </c:scaling>
        <c:delete val="0"/>
        <c:axPos val="b"/>
        <c:numFmt formatCode="General" sourceLinked="1"/>
        <c:majorTickMark val="out"/>
        <c:minorTickMark val="none"/>
        <c:tickLblPos val="nextTo"/>
        <c:spPr>
          <a:ln w="25400">
            <a:solidFill>
              <a:srgbClr val="B3B3B3"/>
            </a:solidFill>
            <a:prstDash val="solid"/>
          </a:ln>
        </c:spPr>
        <c:txPr>
          <a:bodyPr rot="-2220000" vert="horz"/>
          <a:lstStyle/>
          <a:p>
            <a:pPr>
              <a:defRPr sz="700" b="0" i="0" u="none" strike="noStrike" baseline="0">
                <a:solidFill>
                  <a:srgbClr val="000000"/>
                </a:solidFill>
                <a:latin typeface="Arial"/>
                <a:ea typeface="Arial"/>
                <a:cs typeface="Arial"/>
              </a:defRPr>
            </a:pPr>
            <a:endParaRPr lang="en-US"/>
          </a:p>
        </c:txPr>
        <c:crossAx val="1"/>
        <c:crossesAt val="0"/>
        <c:auto val="1"/>
        <c:lblAlgn val="ctr"/>
        <c:lblOffset val="100"/>
        <c:tickLblSkip val="1"/>
        <c:tickMarkSkip val="1"/>
        <c:noMultiLvlLbl val="0"/>
      </c:catAx>
      <c:valAx>
        <c:axId val="1"/>
        <c:scaling>
          <c:orientation val="minMax"/>
        </c:scaling>
        <c:delete val="0"/>
        <c:axPos val="l"/>
        <c:majorGridlines>
          <c:spPr>
            <a:ln w="25400">
              <a:solidFill>
                <a:srgbClr val="B3B3B3"/>
              </a:solidFill>
              <a:prstDash val="solid"/>
            </a:ln>
          </c:spPr>
        </c:majorGridlines>
        <c:title>
          <c:tx>
            <c:rich>
              <a:bodyPr rot="0" vert="horz"/>
              <a:lstStyle/>
              <a:p>
                <a:pPr algn="ctr">
                  <a:defRPr sz="800" b="0" i="0" u="none" strike="noStrike" baseline="0">
                    <a:solidFill>
                      <a:srgbClr val="000000"/>
                    </a:solidFill>
                    <a:latin typeface="Arial"/>
                    <a:ea typeface="Arial"/>
                    <a:cs typeface="Arial"/>
                  </a:defRPr>
                </a:pPr>
                <a:r>
                  <a:rPr lang="fr-FR"/>
                  <a:t>Milliers d'ha</a:t>
                </a:r>
              </a:p>
            </c:rich>
          </c:tx>
          <c:layout>
            <c:manualLayout>
              <c:xMode val="edge"/>
              <c:yMode val="edge"/>
              <c:x val="3.5067518734071282E-2"/>
              <c:y val="6.4293355312768544E-2"/>
            </c:manualLayout>
          </c:layout>
          <c:overlay val="0"/>
          <c:spPr>
            <a:noFill/>
            <a:ln w="25400">
              <a:noFill/>
            </a:ln>
          </c:spPr>
        </c:title>
        <c:numFmt formatCode="#\ ##0\ " sourceLinked="1"/>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945078575"/>
        <c:crosses val="autoZero"/>
        <c:crossBetween val="between"/>
      </c:valAx>
      <c:spPr>
        <a:noFill/>
        <a:ln w="25400">
          <a:solidFill>
            <a:srgbClr val="B3B3B3"/>
          </a:solidFill>
          <a:prstDash val="solid"/>
        </a:ln>
      </c:spPr>
    </c:plotArea>
    <c:legend>
      <c:legendPos val="r"/>
      <c:layout>
        <c:manualLayout>
          <c:xMode val="edge"/>
          <c:yMode val="edge"/>
          <c:x val="0.29429760486159801"/>
          <c:y val="0.91931397375309509"/>
          <c:w val="0.50630805046913074"/>
          <c:h val="6.9509105332551099E-2"/>
        </c:manualLayout>
      </c:layout>
      <c:overlay val="0"/>
      <c:spPr>
        <a:noFill/>
        <a:ln w="25400">
          <a:noFill/>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emf"/></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chart" Target="../charts/chart5.xml"/><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25400</xdr:colOff>
      <xdr:row>10</xdr:row>
      <xdr:rowOff>12700</xdr:rowOff>
    </xdr:from>
    <xdr:to>
      <xdr:col>0</xdr:col>
      <xdr:colOff>12071350</xdr:colOff>
      <xdr:row>71</xdr:row>
      <xdr:rowOff>44450</xdr:rowOff>
    </xdr:to>
    <xdr:sp macro="" textlink="">
      <xdr:nvSpPr>
        <xdr:cNvPr id="2" name="ZoneTexte 1"/>
        <xdr:cNvSpPr txBox="1"/>
      </xdr:nvSpPr>
      <xdr:spPr>
        <a:xfrm>
          <a:off x="25400" y="2368550"/>
          <a:ext cx="12045950" cy="12642850"/>
        </a:xfrm>
        <a:prstGeom prst="rect">
          <a:avLst/>
        </a:prstGeom>
        <a:solidFill>
          <a:schemeClr val="lt1"/>
        </a:solidFill>
        <a:ln w="12700" cmpd="sng">
          <a:solidFill>
            <a:srgbClr val="00808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i="0" u="none" strike="noStrike" baseline="0">
              <a:solidFill>
                <a:srgbClr val="008080"/>
              </a:solidFill>
              <a:effectLst/>
              <a:latin typeface="Marianne" panose="02000000000000000000" pitchFamily="50" charset="0"/>
              <a:ea typeface="+mn-ea"/>
              <a:cs typeface="+mn-cs"/>
            </a:rPr>
            <a:t>Méthodologie</a:t>
          </a:r>
          <a:r>
            <a:rPr lang="fr-FR" sz="1400" baseline="0">
              <a:solidFill>
                <a:srgbClr val="008080"/>
              </a:solidFill>
              <a:latin typeface="Marianne" panose="02000000000000000000" pitchFamily="50" charset="0"/>
            </a:rPr>
            <a:t> </a:t>
          </a:r>
        </a:p>
        <a:p>
          <a:endParaRPr lang="fr-FR" sz="1400" baseline="0">
            <a:solidFill>
              <a:srgbClr val="3D9EE7"/>
            </a:solidFill>
            <a:latin typeface="Marianne" panose="02000000000000000000" pitchFamily="50" charset="0"/>
          </a:endParaRPr>
        </a:p>
        <a:p>
          <a:r>
            <a:rPr lang="fr-FR" sz="1100" b="1" i="0" u="none" strike="noStrike" baseline="0">
              <a:solidFill>
                <a:sysClr val="windowText" lastClr="000000"/>
              </a:solidFill>
              <a:effectLst/>
              <a:latin typeface="Marianne" panose="02000000000000000000" pitchFamily="50" charset="0"/>
              <a:ea typeface="+mn-ea"/>
              <a:cs typeface="+mn-cs"/>
            </a:rPr>
            <a:t>DRAAF Occitanie / SRISET -  Estimations précoces de conjoncture en Grandes cultures</a:t>
          </a:r>
        </a:p>
        <a:p>
          <a:endParaRPr lang="fr-FR" sz="1100" b="1" i="0" u="none" strike="noStrike">
            <a:solidFill>
              <a:schemeClr val="dk1"/>
            </a:solidFill>
            <a:effectLst/>
            <a:latin typeface="Marianne" panose="02000000000000000000" pitchFamily="50" charset="0"/>
            <a:ea typeface="+mn-ea"/>
            <a:cs typeface="+mn-cs"/>
          </a:endParaRPr>
        </a:p>
        <a:p>
          <a:r>
            <a:rPr lang="fr-FR" sz="1100" b="1" i="0" u="sng" strike="noStrike">
              <a:solidFill>
                <a:schemeClr val="dk1"/>
              </a:solidFill>
              <a:effectLst/>
              <a:latin typeface="Marianne" panose="02000000000000000000" pitchFamily="50" charset="0"/>
              <a:ea typeface="+mn-ea"/>
              <a:cs typeface="+mn-cs"/>
            </a:rPr>
            <a:t>1) Le calendrier</a:t>
          </a:r>
          <a:r>
            <a:rPr lang="fr-FR" sz="1100">
              <a:latin typeface="Marianne" panose="02000000000000000000" pitchFamily="50" charset="0"/>
            </a:rPr>
            <a:t> </a:t>
          </a:r>
        </a:p>
        <a:p>
          <a:endParaRPr lang="fr-FR" sz="1100">
            <a:latin typeface="Marianne" panose="02000000000000000000" pitchFamily="50" charset="0"/>
          </a:endParaRPr>
        </a:p>
        <a:p>
          <a:r>
            <a:rPr lang="fr-FR" sz="1100" b="0" i="0" u="none" strike="noStrike">
              <a:solidFill>
                <a:schemeClr val="dk1"/>
              </a:solidFill>
              <a:effectLst/>
              <a:latin typeface="Marianne" panose="02000000000000000000" pitchFamily="50" charset="0"/>
              <a:ea typeface="+mn-ea"/>
              <a:cs typeface="+mn-cs"/>
            </a:rPr>
            <a:t>Le suivi de la conjoncture en Grandes Cultures de l'année de production N débute en décembre de l'année N-1 (prévisions de semis par culture), et se termine en novembre de l'année N (bilan intermédiaire des récoltes).</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Les estimations sont révisées et publiées tous les mois (à l'exception des mois de janvier et de mars), après la publication officielle des résultats nationaux dont le calendrier est annoncé sur le site Agreste (rubrique Conjoncture Infos rapides / Calendrier de parution), généralement à partir du 10 du mois.</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Les premières estimations qui ne concernent que les céréales d’hiver (blés, seigle, orge, avoine, triticale) et le colza, ne portent que sur les surfaces mises en culture. En avril, les cultures de printemps s’ajoutent aux cultures d’hiver, et dès le mois de mai les informations intègrent l’ensemble des cultures avec l'ajout des cultures d'été. A partir de juillet (juin pour le colza et l’orge d’hiver), les estimations de surfaces sont complétées par des estimations de rendements et de production. </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 calendrier détaillé des évaluations par culture est précisé dans l'onglet Calendrier_Estim_production.</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A l'issue du suivi en conjoncture (dernière publication en novembre de l'année N), les estimations en Grandes Cultures sont encore affinées à partir des dernières données disponibles et sont consolidées dans plusieurs versions successives de la statistique agricole annuelle (SAA) : préliminaire en janvier N+1, provisoire en mars N+1, semi-définitive en juin N+1, et définitive en octobre N+1.</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L’objectif de ce suivi est de fournir des évaluations quantitatives des productions totales et des rendements moyens par culture à l’échelle départementale. Des commentaires plus qualitatifs, sur la qualité des produits et sur l’hétérogénéité des résultats, complètent dans la mesure du possible ces estimations. Néanmoins, les moyens mis en œuvre ne permettent pas d’apprécier complètement l’hétérogénéité infra-départementale, parfois importante y compris à une échelle très locale.</a:t>
          </a:r>
        </a:p>
        <a:p>
          <a:endParaRPr lang="fr-FR" sz="1100" b="0" i="0" u="none" strike="noStrike">
            <a:solidFill>
              <a:schemeClr val="dk1"/>
            </a:solidFill>
            <a:effectLst/>
            <a:latin typeface="Marianne" panose="02000000000000000000" pitchFamily="50" charset="0"/>
            <a:ea typeface="+mn-ea"/>
            <a:cs typeface="+mn-cs"/>
          </a:endParaRPr>
        </a:p>
        <a:p>
          <a:r>
            <a:rPr lang="fr-FR" sz="1100" b="1" i="0" u="sng" strike="noStrike">
              <a:solidFill>
                <a:schemeClr val="dk1"/>
              </a:solidFill>
              <a:effectLst/>
              <a:latin typeface="Marianne" panose="02000000000000000000" pitchFamily="50" charset="0"/>
              <a:ea typeface="+mn-ea"/>
              <a:cs typeface="+mn-cs"/>
            </a:rPr>
            <a:t>2) Les sources d’information</a:t>
          </a:r>
        </a:p>
        <a:p>
          <a:endParaRPr lang="fr-FR" sz="1100" b="1" i="0" u="sng" strike="noStrike">
            <a:solidFill>
              <a:schemeClr val="dk1"/>
            </a:solidFill>
            <a:effectLst/>
            <a:latin typeface="Marianne" panose="02000000000000000000" pitchFamily="50" charset="0"/>
            <a:ea typeface="+mn-ea"/>
            <a:cs typeface="+mn-cs"/>
          </a:endParaRPr>
        </a:p>
        <a:p>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La conjoncture est basée sur l’exploitation d’informations provenant de sources variées, et disponibles selon des calendriers qui leur sont propres : données d’enquêtes (enquête terres labourables), données administratives (déclarations des surfaces PAC, collecte et stocks des collecteurs), dires d’experts.</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L'enquête terres labourables (Terlab) est une enquête réalisée par la statistique agricole auprès d'un échantillon d'exploitants agricoles. En Occitanie, environ 2100 exploitants sont interrogés (en 2024) ; ils sont répartis dans les départements présentant une surface significative en grandes cultures (soit 9 départements sur 13, l'Ariège, l'Hérault, le Lot et les Pyrénées-Orientales n'étant pas enquêtés). L'enquête est réalisée en 2 temps (ou vagues). La 1ere vague, collectée de mi-juillet à mi-septembre, a pour principal objet l'estimation des rendements des cultures d'hiver et de printemps. La seconde, de novembre à mi-janvier, permet d’évaluer les rendements des cultures d’été, et fournit des prévisions de semis pour la campagne suivante. </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Les premières déclarations PAC de la campagne N sont généralement disponibles après la mi-mai, date limite usuelle pour la déclaration des surfaces par culture par les exploitants agricoles. Ces données sont ensuite actualisées en cours de campagne pour prendre en compte les corrections apportées par les déclarants (modification d’assolement) et l’instruction des dossiers PAC. </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Les dires d’experts proviennent de la consultation régulière d’un réseau de correspondants locaux dans les différents départements parmi lesquels figurent des techniciens des chambres d’agriculture (dont une partie assure en particulier les observations de l’état de cultures dans le cadre du dispositif CéréObs), des représentants des coopératives agricoles et des entreprises de négoce, des organismes de recherche et développement et des instituts spécialisés (ARVALIS, Terres Inovia, Centre français du riz…), des syndicats de semences et établissements spécialisés dans la production de semences. Au total, plus d’une vingtaine de correspondants sont consultés chaque mois pour établir les prévisions pour l’Occitanie.</a:t>
          </a:r>
          <a:r>
            <a:rPr lang="fr-FR" sz="1100">
              <a:latin typeface="Marianne" panose="02000000000000000000" pitchFamily="50" charset="0"/>
            </a:rPr>
            <a:t> </a:t>
          </a:r>
        </a:p>
        <a:p>
          <a:endParaRPr lang="fr-FR" sz="1100">
            <a:latin typeface="Marianne" panose="02000000000000000000" pitchFamily="50" charset="0"/>
          </a:endParaRPr>
        </a:p>
        <a:p>
          <a:r>
            <a:rPr lang="fr-FR" sz="1100" b="1" i="0" u="sng" strike="noStrike">
              <a:solidFill>
                <a:schemeClr val="dk1"/>
              </a:solidFill>
              <a:effectLst/>
              <a:latin typeface="Marianne" panose="02000000000000000000" pitchFamily="50" charset="0"/>
              <a:ea typeface="+mn-ea"/>
              <a:cs typeface="+mn-cs"/>
            </a:rPr>
            <a:t>3) Les méthodes d’estimation</a:t>
          </a:r>
          <a:r>
            <a:rPr lang="fr-FR" sz="1100">
              <a:latin typeface="Marianne" panose="02000000000000000000" pitchFamily="50" charset="0"/>
            </a:rPr>
            <a:t> </a:t>
          </a:r>
        </a:p>
        <a:p>
          <a:endParaRPr lang="fr-FR" sz="1100">
            <a:latin typeface="Marianne" panose="02000000000000000000" pitchFamily="50" charset="0"/>
          </a:endParaRPr>
        </a:p>
        <a:p>
          <a:r>
            <a:rPr lang="fr-FR" sz="1100" b="0" i="0" u="none" strike="noStrike">
              <a:solidFill>
                <a:schemeClr val="dk1"/>
              </a:solidFill>
              <a:effectLst/>
              <a:latin typeface="Marianne" panose="02000000000000000000" pitchFamily="50" charset="0"/>
              <a:ea typeface="+mn-ea"/>
              <a:cs typeface="+mn-cs"/>
            </a:rPr>
            <a:t>L’établissement de la conjoncture Grandes Cultures est un travail de synthèse d’informations, effectué avec une périodicité mensuelle, qui consiste à exploiter et recouper l’ensemble des données au fur et à mesure de leur disponibilité.</a:t>
          </a:r>
          <a:r>
            <a:rPr lang="fr-FR" sz="1100">
              <a:latin typeface="Marianne" panose="02000000000000000000" pitchFamily="50" charset="0"/>
            </a:rPr>
            <a:t> </a:t>
          </a:r>
        </a:p>
        <a:p>
          <a:endParaRPr lang="fr-FR" sz="1100">
            <a:latin typeface="Marianne" panose="02000000000000000000" pitchFamily="50" charset="0"/>
          </a:endParaRPr>
        </a:p>
        <a:p>
          <a:r>
            <a:rPr lang="fr-FR" sz="1100" b="1" i="0" u="none" strike="noStrike">
              <a:solidFill>
                <a:schemeClr val="dk1"/>
              </a:solidFill>
              <a:effectLst/>
              <a:latin typeface="Marianne" panose="02000000000000000000" pitchFamily="50" charset="0"/>
              <a:ea typeface="+mn-ea"/>
              <a:cs typeface="+mn-cs"/>
            </a:rPr>
            <a:t>a) Surfaces des cultures</a:t>
          </a:r>
          <a:r>
            <a:rPr lang="fr-FR" sz="1100">
              <a:latin typeface="Marianne" panose="02000000000000000000" pitchFamily="50" charset="0"/>
            </a:rPr>
            <a:t> </a:t>
          </a:r>
        </a:p>
        <a:p>
          <a:endParaRPr lang="fr-FR" sz="1100">
            <a:latin typeface="Marianne" panose="02000000000000000000" pitchFamily="50" charset="0"/>
          </a:endParaRPr>
        </a:p>
        <a:p>
          <a:r>
            <a:rPr lang="fr-FR" sz="1100" b="0" i="0" u="none" strike="noStrike">
              <a:solidFill>
                <a:schemeClr val="dk1"/>
              </a:solidFill>
              <a:effectLst/>
              <a:latin typeface="Marianne" panose="02000000000000000000" pitchFamily="50" charset="0"/>
              <a:ea typeface="+mn-ea"/>
              <a:cs typeface="+mn-cs"/>
            </a:rPr>
            <a:t>En décembre N-1, les premières estimations reposent exclusivement sur les dires d’expert. </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En février N, sont exploitées les prévisions de surfaces mises en culture issues de la vague 2 de l’enquête Terlab de l’année N-1. Ces résultats, basés sur un échantillon, sont systématiquement confrontées aux évaluations précédentes et, après une nouvelle consultation des experts, permettent de mettre à jour les estimations.  </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Dans les départements dans lesquels l’enquête Terlab n’est pas réalisée, les estimations sont établies à partir d’une synthèse entre les dires d’expert et les variations relatives observées dans les départements limitrophes et similaires (en termes de cultures et de conditions météorologiques). Les notations Cereobs sont également analysées pour le suivi des taux de semis des céréales à paille. Elles permettent d’affiner l’estimation des semis de l’année N.</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Jusqu’en juin N, les estimations sont révisées sur la base de la consultation des experts locaux.</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A partir de juillet N, les déclarations PAC deviennent la principale source d’information utilisée. </a:t>
          </a:r>
        </a:p>
        <a:p>
          <a:endParaRPr lang="fr-FR" sz="1100" b="0" i="0" u="none" strike="noStrike">
            <a:solidFill>
              <a:schemeClr val="dk1"/>
            </a:solidFill>
            <a:effectLst/>
            <a:latin typeface="Marianne" panose="02000000000000000000" pitchFamily="50" charset="0"/>
            <a:ea typeface="+mn-ea"/>
            <a:cs typeface="+mn-cs"/>
          </a:endParaRPr>
        </a:p>
        <a:p>
          <a:r>
            <a:rPr lang="fr-FR" sz="1100" b="1" i="0" u="none" strike="noStrike">
              <a:solidFill>
                <a:schemeClr val="dk1"/>
              </a:solidFill>
              <a:effectLst/>
              <a:latin typeface="Marianne" panose="02000000000000000000" pitchFamily="50" charset="0"/>
              <a:ea typeface="+mn-ea"/>
              <a:cs typeface="+mn-cs"/>
            </a:rPr>
            <a:t>b) Rendements et production</a:t>
          </a:r>
          <a:r>
            <a:rPr lang="fr-FR" sz="1100">
              <a:latin typeface="Marianne" panose="02000000000000000000" pitchFamily="50" charset="0"/>
            </a:rPr>
            <a:t> </a:t>
          </a:r>
        </a:p>
        <a:p>
          <a:endParaRPr lang="fr-FR" sz="1100">
            <a:latin typeface="Marianne" panose="02000000000000000000" pitchFamily="50" charset="0"/>
          </a:endParaRPr>
        </a:p>
        <a:p>
          <a:r>
            <a:rPr lang="fr-FR" sz="1100" b="0" i="0" u="none" strike="noStrike">
              <a:solidFill>
                <a:schemeClr val="dk1"/>
              </a:solidFill>
              <a:effectLst/>
              <a:latin typeface="Marianne" panose="02000000000000000000" pitchFamily="50" charset="0"/>
              <a:ea typeface="+mn-ea"/>
              <a:cs typeface="+mn-cs"/>
            </a:rPr>
            <a:t>De juillet à septembre N, les estimations reposent exclusivement sur les dires d’expert qui disposent progressivement, au fur et à mesure de l’avancement de la campagne, d’une information de plus en plus détaillée sur l’état des récoltes.</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A partir d’octobre N, les résultats de l’enquête Terlab sont pris en compte et constituent le support principal des estimations pour les cultures d’hiver et de printemps. Ces résultats, basés sur un échantillon, sont systématiquement confrontées aux évaluations précédentes et, après une nouvelle consultation des experts, permettent de mettre à jour les estimations.   </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Dans les départements dans lesquels l’enquête Terlab n’est pas réalisée, les estimations sont obtenues à partir d’une synthèse entre les dires d’expert et les variations relatives observées dans les départements limitrophes et similaires en termes de cultures et de conditions météorologiques.</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Les résultats de rendements de l’enquête Terlab pour les cultures d’été ne sont pas utilisés dans le suivi de conjoncture de l’année N, car non disponibles avant décembre. En revanche ils constituent la base des estimations intégrées ensuite dans la statistique agricole annuelle.</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L’enquête Terlab différencie, pour les espèces les plus importantes, les cultures bio et les cultures conduites en conventionnel ; le rendement moyen par département et culture est évalué en pondérant les 2 estimations par la surface déclarée à la PAC.</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Les parcelles mises en culture et non récoltées (surface différente de 0 et rendement égal à 0) sont comptabilisées dans le calcul du rendement moyen départemental.</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La production par culture est obtenue comme le produit de la surface et du rendement.</a:t>
          </a:r>
          <a:r>
            <a:rPr lang="fr-FR" sz="1100">
              <a:latin typeface="Marianne" panose="02000000000000000000" pitchFamily="50" charset="0"/>
            </a:rPr>
            <a:t> </a:t>
          </a:r>
        </a:p>
        <a:p>
          <a:endParaRPr lang="fr-FR" sz="1100">
            <a:latin typeface="Marianne" panose="02000000000000000000" pitchFamily="50" charset="0"/>
          </a:endParaRPr>
        </a:p>
        <a:p>
          <a:r>
            <a:rPr lang="fr-FR" sz="900" i="1">
              <a:latin typeface="Marianne" panose="02000000000000000000" pitchFamily="50" charset="0"/>
            </a:rPr>
            <a:t>Mise à jour janvier 2025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28575</xdr:colOff>
      <xdr:row>8</xdr:row>
      <xdr:rowOff>0</xdr:rowOff>
    </xdr:to>
    <xdr:sp macro="" textlink="" fLocksText="0">
      <xdr:nvSpPr>
        <xdr:cNvPr id="2" name="Images 1"/>
        <xdr:cNvSpPr>
          <a:spLocks noChangeArrowheads="1"/>
        </xdr:cNvSpPr>
      </xdr:nvSpPr>
      <xdr:spPr bwMode="auto">
        <a:xfrm>
          <a:off x="0" y="0"/>
          <a:ext cx="15440025" cy="1492250"/>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200" b="0" i="0" u="none" strike="noStrike" baseline="0">
              <a:solidFill>
                <a:schemeClr val="bg1"/>
              </a:solidFill>
              <a:latin typeface="Marianne" panose="02000000000000000000" pitchFamily="50" charset="0"/>
              <a:cs typeface="Arial"/>
            </a:rPr>
            <a:t>                                     </a:t>
          </a:r>
          <a:r>
            <a:rPr lang="fr-FR" sz="1000" b="0" i="0" u="none" strike="noStrike" baseline="0">
              <a:solidFill>
                <a:schemeClr val="bg1"/>
              </a:solidFill>
              <a:latin typeface="Marianne" panose="02000000000000000000" pitchFamily="50" charset="0"/>
              <a:cs typeface="Arial"/>
            </a:rPr>
            <a:t>Production de blé tendre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a:t>
          </a:r>
          <a:r>
            <a:rPr lang="fr-FR" sz="1000" b="0" i="0" u="none" strike="noStrike" baseline="0">
              <a:solidFill>
                <a:srgbClr val="FF0000"/>
              </a:solidFill>
              <a:latin typeface="Marianne" panose="02000000000000000000" pitchFamily="50" charset="0"/>
              <a:cs typeface="Arial"/>
            </a:rPr>
            <a:t>XX</a:t>
          </a:r>
          <a:r>
            <a:rPr lang="fr-FR" sz="1000" b="0" i="0" u="none" strike="noStrike" baseline="0">
              <a:solidFill>
                <a:schemeClr val="bg1"/>
              </a:solidFill>
              <a:latin typeface="Marianne" panose="02000000000000000000" pitchFamily="50" charset="0"/>
              <a:cs typeface="Arial"/>
            </a:rPr>
            <a:t>Mt, Occitanie : 10</a:t>
          </a:r>
          <a:r>
            <a:rPr lang="fr-FR" sz="1000" b="0" i="0" baseline="0">
              <a:solidFill>
                <a:schemeClr val="bg1"/>
              </a:solidFill>
              <a:effectLst/>
              <a:latin typeface="Marianne" panose="02000000000000000000" pitchFamily="50" charset="0"/>
              <a:ea typeface="+mn-ea"/>
              <a:cs typeface="+mn-cs"/>
            </a:rPr>
            <a:t>° </a:t>
          </a:r>
          <a:r>
            <a:rPr lang="fr-FR" sz="1000" b="0" i="0" u="none" strike="noStrike" baseline="0">
              <a:solidFill>
                <a:schemeClr val="bg1"/>
              </a:solidFill>
              <a:latin typeface="Marianne" panose="02000000000000000000" pitchFamily="50" charset="0"/>
              <a:cs typeface="Arial"/>
            </a:rPr>
            <a:t>rang </a:t>
          </a:r>
        </a:p>
        <a:p>
          <a:pPr algn="ctr" rtl="0">
            <a:defRPr sz="1000"/>
          </a:pPr>
          <a:r>
            <a:rPr lang="fr-FR" sz="1000" b="0" i="0" u="none" strike="noStrike" baseline="0">
              <a:solidFill>
                <a:schemeClr val="bg1"/>
              </a:solidFill>
              <a:latin typeface="Marianne" panose="02000000000000000000" pitchFamily="50" charset="0"/>
              <a:cs typeface="Arial"/>
            </a:rPr>
            <a:t>                                        Production de Blé dur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a:t>
          </a:r>
          <a:r>
            <a:rPr lang="fr-FR" sz="1000" b="0" i="0" u="none" strike="noStrike" baseline="0">
              <a:solidFill>
                <a:srgbClr val="FF0000"/>
              </a:solidFill>
              <a:latin typeface="Marianne" panose="02000000000000000000" pitchFamily="50" charset="0"/>
              <a:cs typeface="Arial"/>
            </a:rPr>
            <a:t> XX</a:t>
          </a:r>
          <a:r>
            <a:rPr lang="fr-FR" sz="1000" b="0" i="0" u="none" strike="noStrike" baseline="0">
              <a:solidFill>
                <a:schemeClr val="bg1"/>
              </a:solidFill>
              <a:latin typeface="Marianne" panose="02000000000000000000" pitchFamily="50" charset="0"/>
              <a:cs typeface="Arial"/>
            </a:rPr>
            <a:t>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Tournesol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a:t>
          </a:r>
          <a:r>
            <a:rPr lang="fr-FR" sz="1000" b="0" i="0" u="none" strike="noStrike" baseline="0">
              <a:solidFill>
                <a:srgbClr val="FF0000"/>
              </a:solidFill>
              <a:latin typeface="Marianne" panose="02000000000000000000" pitchFamily="50" charset="0"/>
              <a:cs typeface="Arial"/>
            </a:rPr>
            <a:t>: XX</a:t>
          </a:r>
          <a:r>
            <a:rPr lang="fr-FR" sz="1000" b="0" i="0" u="none" strike="noStrike" baseline="0">
              <a:solidFill>
                <a:schemeClr val="bg1"/>
              </a:solidFill>
              <a:latin typeface="Marianne" panose="02000000000000000000" pitchFamily="50" charset="0"/>
              <a:cs typeface="Arial"/>
            </a:rPr>
            <a:t>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de Soja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 </a:t>
          </a:r>
          <a:r>
            <a:rPr lang="fr-FR" sz="1000" b="0" i="0" u="none" strike="noStrike" baseline="0">
              <a:solidFill>
                <a:srgbClr val="FF0000"/>
              </a:solidFill>
              <a:latin typeface="Marianne" panose="02000000000000000000" pitchFamily="50" charset="0"/>
              <a:cs typeface="Arial"/>
            </a:rPr>
            <a:t>XX</a:t>
          </a:r>
          <a:r>
            <a:rPr lang="fr-FR" sz="1000" b="0" i="0" u="none" strike="noStrike" baseline="0">
              <a:solidFill>
                <a:schemeClr val="bg1"/>
              </a:solidFill>
              <a:latin typeface="Marianne" panose="02000000000000000000" pitchFamily="50" charset="0"/>
              <a:cs typeface="Arial"/>
            </a:rPr>
            <a:t> Mt Occitanie :  </a:t>
          </a:r>
          <a:r>
            <a:rPr lang="fr-FR" sz="1000" b="0" i="0" u="none" strike="noStrike" baseline="0">
              <a:solidFill>
                <a:schemeClr val="bg1"/>
              </a:solidFill>
              <a:latin typeface="Marianne" panose="02000000000000000000" pitchFamily="50" charset="0"/>
              <a:ea typeface="+mn-ea"/>
              <a:cs typeface="Arial"/>
            </a:rPr>
            <a:t>3° rang </a:t>
          </a:r>
        </a:p>
      </xdr:txBody>
    </xdr:sp>
    <xdr:clientData/>
  </xdr:twoCellAnchor>
  <xdr:twoCellAnchor>
    <xdr:from>
      <xdr:col>0</xdr:col>
      <xdr:colOff>0</xdr:colOff>
      <xdr:row>0</xdr:row>
      <xdr:rowOff>0</xdr:rowOff>
    </xdr:from>
    <xdr:to>
      <xdr:col>19</xdr:col>
      <xdr:colOff>893594</xdr:colOff>
      <xdr:row>7</xdr:row>
      <xdr:rowOff>301199</xdr:rowOff>
    </xdr:to>
    <xdr:sp macro="" textlink="" fLocksText="0">
      <xdr:nvSpPr>
        <xdr:cNvPr id="3" name="Images 1"/>
        <xdr:cNvSpPr>
          <a:spLocks noChangeArrowheads="1"/>
        </xdr:cNvSpPr>
      </xdr:nvSpPr>
      <xdr:spPr bwMode="auto">
        <a:xfrm>
          <a:off x="0" y="0"/>
          <a:ext cx="16235194" cy="1507699"/>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200" b="0" i="0" u="none" strike="noStrike" baseline="0">
              <a:solidFill>
                <a:schemeClr val="bg1"/>
              </a:solidFill>
              <a:latin typeface="Marianne" panose="02000000000000000000" pitchFamily="50" charset="0"/>
              <a:cs typeface="Arial"/>
            </a:rPr>
            <a:t>                                     </a:t>
          </a:r>
          <a:r>
            <a:rPr lang="fr-FR" sz="1000" b="0" i="0" u="none" strike="noStrike" baseline="0">
              <a:solidFill>
                <a:schemeClr val="bg1"/>
              </a:solidFill>
              <a:latin typeface="Marianne" panose="02000000000000000000" pitchFamily="50" charset="0"/>
              <a:cs typeface="Arial"/>
            </a:rPr>
            <a:t>Production de blé tendre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25,5 Mt, Occitanie : 11</a:t>
          </a:r>
          <a:r>
            <a:rPr lang="fr-FR" sz="1000" b="0" i="0" baseline="0">
              <a:solidFill>
                <a:schemeClr val="bg1"/>
              </a:solidFill>
              <a:effectLst/>
              <a:latin typeface="Marianne" panose="02000000000000000000" pitchFamily="50" charset="0"/>
              <a:ea typeface="+mn-ea"/>
              <a:cs typeface="+mn-cs"/>
            </a:rPr>
            <a:t>° </a:t>
          </a:r>
          <a:r>
            <a:rPr lang="fr-FR" sz="1000" b="0" i="0" u="none" strike="noStrike" baseline="0">
              <a:solidFill>
                <a:schemeClr val="bg1"/>
              </a:solidFill>
              <a:latin typeface="Marianne" panose="02000000000000000000" pitchFamily="50" charset="0"/>
              <a:cs typeface="Arial"/>
            </a:rPr>
            <a:t>rang </a:t>
          </a:r>
        </a:p>
        <a:p>
          <a:pPr algn="ctr" rtl="0">
            <a:defRPr sz="1000"/>
          </a:pPr>
          <a:r>
            <a:rPr lang="fr-FR" sz="1000" b="0" i="0" u="none" strike="noStrike" baseline="0">
              <a:solidFill>
                <a:schemeClr val="bg1"/>
              </a:solidFill>
              <a:latin typeface="Marianne" panose="02000000000000000000" pitchFamily="50" charset="0"/>
              <a:cs typeface="Arial"/>
            </a:rPr>
            <a:t>                                        Production de Blé dur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a:t>
          </a:r>
          <a:r>
            <a:rPr lang="fr-FR" sz="1000" b="0" i="0" u="none" strike="noStrike" baseline="0">
              <a:solidFill>
                <a:srgbClr val="FF0000"/>
              </a:solidFill>
              <a:latin typeface="Marianne" panose="02000000000000000000" pitchFamily="50" charset="0"/>
              <a:cs typeface="Arial"/>
            </a:rPr>
            <a:t> </a:t>
          </a:r>
          <a:r>
            <a:rPr lang="fr-FR" sz="1000" b="0" i="0" u="none" strike="noStrike" baseline="0">
              <a:solidFill>
                <a:schemeClr val="bg1"/>
              </a:solidFill>
              <a:latin typeface="Marianne" panose="02000000000000000000" pitchFamily="50" charset="0"/>
              <a:cs typeface="Arial"/>
            </a:rPr>
            <a:t>1,21 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Tournesol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 1,47 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de Soja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 0,40 Mt Occitanie :  </a:t>
          </a:r>
          <a:r>
            <a:rPr lang="fr-FR" sz="1000" b="0" i="0" u="none" strike="noStrike" baseline="0">
              <a:solidFill>
                <a:schemeClr val="bg1"/>
              </a:solidFill>
              <a:latin typeface="Marianne" panose="02000000000000000000" pitchFamily="50" charset="0"/>
              <a:ea typeface="+mn-ea"/>
              <a:cs typeface="Arial"/>
            </a:rPr>
            <a:t>3° rang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28575</xdr:colOff>
      <xdr:row>8</xdr:row>
      <xdr:rowOff>0</xdr:rowOff>
    </xdr:to>
    <xdr:sp macro="" textlink="" fLocksText="0">
      <xdr:nvSpPr>
        <xdr:cNvPr id="2" name="Images 1"/>
        <xdr:cNvSpPr>
          <a:spLocks noChangeArrowheads="1"/>
        </xdr:cNvSpPr>
      </xdr:nvSpPr>
      <xdr:spPr bwMode="auto">
        <a:xfrm>
          <a:off x="0" y="0"/>
          <a:ext cx="15490825" cy="1536700"/>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200" b="0" i="0" u="none" strike="noStrike" baseline="0">
              <a:solidFill>
                <a:schemeClr val="bg1"/>
              </a:solidFill>
              <a:latin typeface="Marianne" panose="02000000000000000000" pitchFamily="50" charset="0"/>
              <a:cs typeface="Arial"/>
            </a:rPr>
            <a:t>                                     </a:t>
          </a:r>
          <a:r>
            <a:rPr lang="fr-FR" sz="1000" b="0" i="0" u="none" strike="noStrike" baseline="0">
              <a:solidFill>
                <a:schemeClr val="bg1"/>
              </a:solidFill>
              <a:latin typeface="Marianne" panose="02000000000000000000" pitchFamily="50" charset="0"/>
              <a:cs typeface="Arial"/>
            </a:rPr>
            <a:t>Production de blé tendre en 2024 </a:t>
          </a:r>
          <a:r>
            <a:rPr lang="fr-FR" sz="1000" b="0" i="0" u="none" strike="noStrike" baseline="30000">
              <a:solidFill>
                <a:schemeClr val="bg1"/>
              </a:solidFill>
              <a:latin typeface="Marianne" panose="02000000000000000000" pitchFamily="50" charset="0"/>
              <a:cs typeface="Arial"/>
            </a:rPr>
            <a:t>(1)</a:t>
          </a:r>
        </a:p>
        <a:p>
          <a:pPr algn="ctr" rtl="0">
            <a:defRPr sz="1000"/>
          </a:pPr>
          <a:r>
            <a:rPr lang="fr-FR" sz="1000" b="0" i="0" u="none" strike="noStrike" baseline="0">
              <a:solidFill>
                <a:schemeClr val="bg1"/>
              </a:solidFill>
              <a:latin typeface="Marianne" panose="02000000000000000000" pitchFamily="50" charset="0"/>
              <a:cs typeface="Arial"/>
            </a:rPr>
            <a:t>                                          France </a:t>
          </a:r>
          <a:r>
            <a:rPr lang="fr-FR" sz="1000" b="0" i="0" u="none" strike="noStrike" baseline="0">
              <a:solidFill>
                <a:srgbClr val="FF0000"/>
              </a:solidFill>
              <a:latin typeface="Marianne" panose="02000000000000000000" pitchFamily="50" charset="0"/>
              <a:cs typeface="Arial"/>
            </a:rPr>
            <a:t>XX</a:t>
          </a:r>
          <a:r>
            <a:rPr lang="fr-FR" sz="1000" b="0" i="0" u="none" strike="noStrike" baseline="0">
              <a:solidFill>
                <a:schemeClr val="bg1"/>
              </a:solidFill>
              <a:latin typeface="Marianne" panose="02000000000000000000" pitchFamily="50" charset="0"/>
              <a:cs typeface="Arial"/>
            </a:rPr>
            <a:t>Mt, Occitanie : 10</a:t>
          </a:r>
          <a:r>
            <a:rPr lang="fr-FR" sz="1000" b="0" i="0" baseline="0">
              <a:solidFill>
                <a:schemeClr val="bg1"/>
              </a:solidFill>
              <a:effectLst/>
              <a:latin typeface="Marianne" panose="02000000000000000000" pitchFamily="50" charset="0"/>
              <a:ea typeface="+mn-ea"/>
              <a:cs typeface="+mn-cs"/>
            </a:rPr>
            <a:t>° </a:t>
          </a:r>
          <a:r>
            <a:rPr lang="fr-FR" sz="1000" b="0" i="0" u="none" strike="noStrike" baseline="0">
              <a:solidFill>
                <a:schemeClr val="bg1"/>
              </a:solidFill>
              <a:latin typeface="Marianne" panose="02000000000000000000" pitchFamily="50" charset="0"/>
              <a:cs typeface="Arial"/>
            </a:rPr>
            <a:t>rang </a:t>
          </a:r>
        </a:p>
        <a:p>
          <a:pPr algn="ctr" rtl="0">
            <a:defRPr sz="1000"/>
          </a:pPr>
          <a:r>
            <a:rPr lang="fr-FR" sz="1000" b="0" i="0" u="none" strike="noStrike" baseline="0">
              <a:solidFill>
                <a:schemeClr val="bg1"/>
              </a:solidFill>
              <a:latin typeface="Marianne" panose="02000000000000000000" pitchFamily="50" charset="0"/>
              <a:cs typeface="Arial"/>
            </a:rPr>
            <a:t>                                        Production de Blé dur en 2024 </a:t>
          </a:r>
          <a:r>
            <a:rPr lang="fr-FR" sz="1000" b="0" i="0" u="none" strike="noStrike" baseline="30000">
              <a:solidFill>
                <a:schemeClr val="bg1"/>
              </a:solidFill>
              <a:latin typeface="Marianne" panose="02000000000000000000" pitchFamily="50" charset="0"/>
              <a:cs typeface="Arial"/>
            </a:rPr>
            <a:t>(1)</a:t>
          </a:r>
        </a:p>
        <a:p>
          <a:pPr algn="ctr" rtl="0">
            <a:defRPr sz="1000"/>
          </a:pPr>
          <a:r>
            <a:rPr lang="fr-FR" sz="1000" b="0" i="0" u="none" strike="noStrike" baseline="0">
              <a:solidFill>
                <a:schemeClr val="bg1"/>
              </a:solidFill>
              <a:latin typeface="Marianne" panose="02000000000000000000" pitchFamily="50" charset="0"/>
              <a:cs typeface="Arial"/>
            </a:rPr>
            <a:t>                                              France :</a:t>
          </a:r>
          <a:r>
            <a:rPr lang="fr-FR" sz="1000" b="0" i="0" u="none" strike="noStrike" baseline="0">
              <a:solidFill>
                <a:srgbClr val="FF0000"/>
              </a:solidFill>
              <a:latin typeface="Marianne" panose="02000000000000000000" pitchFamily="50" charset="0"/>
              <a:cs typeface="Arial"/>
            </a:rPr>
            <a:t> XX</a:t>
          </a:r>
          <a:r>
            <a:rPr lang="fr-FR" sz="1000" b="0" i="0" u="none" strike="noStrike" baseline="0">
              <a:solidFill>
                <a:schemeClr val="bg1"/>
              </a:solidFill>
              <a:latin typeface="Marianne" panose="02000000000000000000" pitchFamily="50" charset="0"/>
              <a:cs typeface="Arial"/>
            </a:rPr>
            <a:t>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Tournesol en 2024 </a:t>
          </a:r>
          <a:r>
            <a:rPr lang="fr-FR" sz="1000" b="0" i="0" u="none" strike="noStrike" baseline="30000">
              <a:solidFill>
                <a:schemeClr val="bg1"/>
              </a:solidFill>
              <a:latin typeface="Marianne" panose="02000000000000000000" pitchFamily="50" charset="0"/>
              <a:cs typeface="Arial"/>
            </a:rPr>
            <a:t>(1)</a:t>
          </a:r>
        </a:p>
        <a:p>
          <a:pPr algn="ctr" rtl="0">
            <a:defRPr sz="1000"/>
          </a:pPr>
          <a:r>
            <a:rPr lang="fr-FR" sz="1000" b="0" i="0" u="none" strike="noStrike" baseline="0">
              <a:solidFill>
                <a:schemeClr val="bg1"/>
              </a:solidFill>
              <a:latin typeface="Marianne" panose="02000000000000000000" pitchFamily="50" charset="0"/>
              <a:cs typeface="Arial"/>
            </a:rPr>
            <a:t>                                             France </a:t>
          </a:r>
          <a:r>
            <a:rPr lang="fr-FR" sz="1000" b="0" i="0" u="none" strike="noStrike" baseline="0">
              <a:solidFill>
                <a:srgbClr val="FF0000"/>
              </a:solidFill>
              <a:latin typeface="Marianne" panose="02000000000000000000" pitchFamily="50" charset="0"/>
              <a:cs typeface="Arial"/>
            </a:rPr>
            <a:t>: XX</a:t>
          </a:r>
          <a:r>
            <a:rPr lang="fr-FR" sz="1000" b="0" i="0" u="none" strike="noStrike" baseline="0">
              <a:solidFill>
                <a:schemeClr val="bg1"/>
              </a:solidFill>
              <a:latin typeface="Marianne" panose="02000000000000000000" pitchFamily="50" charset="0"/>
              <a:cs typeface="Arial"/>
            </a:rPr>
            <a:t>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de Soja en 2024 </a:t>
          </a:r>
          <a:r>
            <a:rPr lang="fr-FR" sz="1000" b="0" i="0" u="none" strike="noStrike" baseline="30000">
              <a:solidFill>
                <a:schemeClr val="bg1"/>
              </a:solidFill>
              <a:latin typeface="Marianne" panose="02000000000000000000" pitchFamily="50" charset="0"/>
              <a:cs typeface="Arial"/>
            </a:rPr>
            <a:t>(1)</a:t>
          </a:r>
        </a:p>
        <a:p>
          <a:pPr algn="ctr" rtl="0">
            <a:defRPr sz="1000"/>
          </a:pPr>
          <a:r>
            <a:rPr lang="fr-FR" sz="1000" b="0" i="0" u="none" strike="noStrike" baseline="0">
              <a:solidFill>
                <a:schemeClr val="bg1"/>
              </a:solidFill>
              <a:latin typeface="Marianne" panose="02000000000000000000" pitchFamily="50" charset="0"/>
              <a:cs typeface="Arial"/>
            </a:rPr>
            <a:t>                                            France : </a:t>
          </a:r>
          <a:r>
            <a:rPr lang="fr-FR" sz="1000" b="0" i="0" u="none" strike="noStrike" baseline="0">
              <a:solidFill>
                <a:srgbClr val="FF0000"/>
              </a:solidFill>
              <a:latin typeface="Marianne" panose="02000000000000000000" pitchFamily="50" charset="0"/>
              <a:cs typeface="Arial"/>
            </a:rPr>
            <a:t>XX</a:t>
          </a:r>
          <a:r>
            <a:rPr lang="fr-FR" sz="1000" b="0" i="0" u="none" strike="noStrike" baseline="0">
              <a:solidFill>
                <a:schemeClr val="bg1"/>
              </a:solidFill>
              <a:latin typeface="Marianne" panose="02000000000000000000" pitchFamily="50" charset="0"/>
              <a:cs typeface="Arial"/>
            </a:rPr>
            <a:t> Mt Occitanie :  </a:t>
          </a:r>
          <a:r>
            <a:rPr lang="fr-FR" sz="1000" b="0" i="0" u="none" strike="noStrike" baseline="0">
              <a:solidFill>
                <a:schemeClr val="bg1"/>
              </a:solidFill>
              <a:latin typeface="Marianne" panose="02000000000000000000" pitchFamily="50" charset="0"/>
              <a:ea typeface="+mn-ea"/>
              <a:cs typeface="Arial"/>
            </a:rPr>
            <a:t>3° rang </a:t>
          </a:r>
        </a:p>
      </xdr:txBody>
    </xdr:sp>
    <xdr:clientData/>
  </xdr:twoCellAnchor>
  <xdr:twoCellAnchor>
    <xdr:from>
      <xdr:col>0</xdr:col>
      <xdr:colOff>0</xdr:colOff>
      <xdr:row>0</xdr:row>
      <xdr:rowOff>0</xdr:rowOff>
    </xdr:from>
    <xdr:to>
      <xdr:col>19</xdr:col>
      <xdr:colOff>693569</xdr:colOff>
      <xdr:row>7</xdr:row>
      <xdr:rowOff>306491</xdr:rowOff>
    </xdr:to>
    <xdr:sp macro="" textlink="" fLocksText="0">
      <xdr:nvSpPr>
        <xdr:cNvPr id="3" name="Images 1"/>
        <xdr:cNvSpPr>
          <a:spLocks noChangeArrowheads="1"/>
        </xdr:cNvSpPr>
      </xdr:nvSpPr>
      <xdr:spPr bwMode="auto">
        <a:xfrm>
          <a:off x="0" y="0"/>
          <a:ext cx="16235194" cy="1507699"/>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200" b="0" i="0" u="none" strike="noStrike" baseline="0">
              <a:solidFill>
                <a:schemeClr val="bg1"/>
              </a:solidFill>
              <a:latin typeface="Marianne" panose="02000000000000000000" pitchFamily="50" charset="0"/>
              <a:cs typeface="Arial"/>
            </a:rPr>
            <a:t>                                     </a:t>
          </a:r>
          <a:r>
            <a:rPr lang="fr-FR" sz="1000" b="0" i="0" u="none" strike="noStrike" baseline="0">
              <a:solidFill>
                <a:schemeClr val="bg1"/>
              </a:solidFill>
              <a:latin typeface="Marianne" panose="02000000000000000000" pitchFamily="50" charset="0"/>
              <a:cs typeface="Arial"/>
            </a:rPr>
            <a:t>Production de blé tendre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25,5 Mt, Occitanie : 11</a:t>
          </a:r>
          <a:r>
            <a:rPr lang="fr-FR" sz="1000" b="0" i="0" baseline="0">
              <a:solidFill>
                <a:schemeClr val="bg1"/>
              </a:solidFill>
              <a:effectLst/>
              <a:latin typeface="Marianne" panose="02000000000000000000" pitchFamily="50" charset="0"/>
              <a:ea typeface="+mn-ea"/>
              <a:cs typeface="+mn-cs"/>
            </a:rPr>
            <a:t>° </a:t>
          </a:r>
          <a:r>
            <a:rPr lang="fr-FR" sz="1000" b="0" i="0" u="none" strike="noStrike" baseline="0">
              <a:solidFill>
                <a:schemeClr val="bg1"/>
              </a:solidFill>
              <a:latin typeface="Marianne" panose="02000000000000000000" pitchFamily="50" charset="0"/>
              <a:cs typeface="Arial"/>
            </a:rPr>
            <a:t>rang </a:t>
          </a:r>
        </a:p>
        <a:p>
          <a:pPr algn="ctr" rtl="0">
            <a:defRPr sz="1000"/>
          </a:pPr>
          <a:r>
            <a:rPr lang="fr-FR" sz="1000" b="0" i="0" u="none" strike="noStrike" baseline="0">
              <a:solidFill>
                <a:schemeClr val="bg1"/>
              </a:solidFill>
              <a:latin typeface="Marianne" panose="02000000000000000000" pitchFamily="50" charset="0"/>
              <a:cs typeface="Arial"/>
            </a:rPr>
            <a:t>                                        Production de Blé dur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a:t>
          </a:r>
          <a:r>
            <a:rPr lang="fr-FR" sz="1000" b="0" i="0" u="none" strike="noStrike" baseline="0">
              <a:solidFill>
                <a:srgbClr val="FF0000"/>
              </a:solidFill>
              <a:latin typeface="Marianne" panose="02000000000000000000" pitchFamily="50" charset="0"/>
              <a:cs typeface="Arial"/>
            </a:rPr>
            <a:t> </a:t>
          </a:r>
          <a:r>
            <a:rPr lang="fr-FR" sz="1000" b="0" i="0" u="none" strike="noStrike" baseline="0">
              <a:solidFill>
                <a:schemeClr val="bg1"/>
              </a:solidFill>
              <a:latin typeface="Marianne" panose="02000000000000000000" pitchFamily="50" charset="0"/>
              <a:cs typeface="Arial"/>
            </a:rPr>
            <a:t>1,21 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Tournesol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 1,47 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de Soja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 0,40 Mt Occitanie :  </a:t>
          </a:r>
          <a:r>
            <a:rPr lang="fr-FR" sz="1000" b="0" i="0" u="none" strike="noStrike" baseline="0">
              <a:solidFill>
                <a:schemeClr val="bg1"/>
              </a:solidFill>
              <a:latin typeface="Marianne" panose="02000000000000000000" pitchFamily="50" charset="0"/>
              <a:ea typeface="+mn-ea"/>
              <a:cs typeface="Arial"/>
            </a:rPr>
            <a:t>3° rang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124475</xdr:colOff>
      <xdr:row>7</xdr:row>
      <xdr:rowOff>289654</xdr:rowOff>
    </xdr:to>
    <xdr:sp macro="" textlink="" fLocksText="0">
      <xdr:nvSpPr>
        <xdr:cNvPr id="4" name="Images 1"/>
        <xdr:cNvSpPr>
          <a:spLocks noChangeArrowheads="1"/>
        </xdr:cNvSpPr>
      </xdr:nvSpPr>
      <xdr:spPr bwMode="auto">
        <a:xfrm>
          <a:off x="0" y="0"/>
          <a:ext cx="16478611" cy="1507699"/>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200" b="0" i="0" u="none" strike="noStrike" baseline="0">
              <a:solidFill>
                <a:schemeClr val="bg1"/>
              </a:solidFill>
              <a:latin typeface="Marianne" panose="02000000000000000000" pitchFamily="50" charset="0"/>
              <a:cs typeface="Arial"/>
            </a:rPr>
            <a:t>                                     </a:t>
          </a:r>
          <a:r>
            <a:rPr lang="fr-FR" sz="1000" b="0" i="0" u="none" strike="noStrike" baseline="0">
              <a:solidFill>
                <a:schemeClr val="bg1"/>
              </a:solidFill>
              <a:latin typeface="Marianne" panose="02000000000000000000" pitchFamily="50" charset="0"/>
              <a:cs typeface="Arial"/>
            </a:rPr>
            <a:t>Production de blé tendre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25,5 Mt, Occitanie : 11</a:t>
          </a:r>
          <a:r>
            <a:rPr lang="fr-FR" sz="1000" b="0" i="0" baseline="0">
              <a:solidFill>
                <a:schemeClr val="bg1"/>
              </a:solidFill>
              <a:effectLst/>
              <a:latin typeface="Marianne" panose="02000000000000000000" pitchFamily="50" charset="0"/>
              <a:ea typeface="+mn-ea"/>
              <a:cs typeface="+mn-cs"/>
            </a:rPr>
            <a:t>° </a:t>
          </a:r>
          <a:r>
            <a:rPr lang="fr-FR" sz="1000" b="0" i="0" u="none" strike="noStrike" baseline="0">
              <a:solidFill>
                <a:schemeClr val="bg1"/>
              </a:solidFill>
              <a:latin typeface="Marianne" panose="02000000000000000000" pitchFamily="50" charset="0"/>
              <a:cs typeface="Arial"/>
            </a:rPr>
            <a:t>rang </a:t>
          </a:r>
        </a:p>
        <a:p>
          <a:pPr algn="ctr" rtl="0">
            <a:defRPr sz="1000"/>
          </a:pPr>
          <a:r>
            <a:rPr lang="fr-FR" sz="1000" b="0" i="0" u="none" strike="noStrike" baseline="0">
              <a:solidFill>
                <a:schemeClr val="bg1"/>
              </a:solidFill>
              <a:latin typeface="Marianne" panose="02000000000000000000" pitchFamily="50" charset="0"/>
              <a:cs typeface="Arial"/>
            </a:rPr>
            <a:t>                                        Production de Blé dur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a:t>
          </a:r>
          <a:r>
            <a:rPr lang="fr-FR" sz="1000" b="0" i="0" u="none" strike="noStrike" baseline="0">
              <a:solidFill>
                <a:srgbClr val="FF0000"/>
              </a:solidFill>
              <a:latin typeface="Marianne" panose="02000000000000000000" pitchFamily="50" charset="0"/>
              <a:cs typeface="Arial"/>
            </a:rPr>
            <a:t> </a:t>
          </a:r>
          <a:r>
            <a:rPr lang="fr-FR" sz="1000" b="0" i="0" u="none" strike="noStrike" baseline="0">
              <a:solidFill>
                <a:schemeClr val="bg1"/>
              </a:solidFill>
              <a:latin typeface="Marianne" panose="02000000000000000000" pitchFamily="50" charset="0"/>
              <a:cs typeface="Arial"/>
            </a:rPr>
            <a:t>1,21 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Tournesol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 1,47 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de Soja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 0,40 Mt Occitanie :  </a:t>
          </a:r>
          <a:r>
            <a:rPr lang="fr-FR" sz="1000" b="0" i="0" u="none" strike="noStrike" baseline="0">
              <a:solidFill>
                <a:schemeClr val="bg1"/>
              </a:solidFill>
              <a:latin typeface="Marianne" panose="02000000000000000000" pitchFamily="50" charset="0"/>
              <a:ea typeface="+mn-ea"/>
              <a:cs typeface="Arial"/>
            </a:rPr>
            <a:t>3° rang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79005</xdr:colOff>
      <xdr:row>9</xdr:row>
      <xdr:rowOff>53341</xdr:rowOff>
    </xdr:from>
    <xdr:to>
      <xdr:col>12</xdr:col>
      <xdr:colOff>455594</xdr:colOff>
      <xdr:row>23</xdr:row>
      <xdr:rowOff>137161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80745</xdr:colOff>
      <xdr:row>46</xdr:row>
      <xdr:rowOff>65300</xdr:rowOff>
    </xdr:from>
    <xdr:to>
      <xdr:col>12</xdr:col>
      <xdr:colOff>482199</xdr:colOff>
      <xdr:row>59</xdr:row>
      <xdr:rowOff>114301</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87562</xdr:colOff>
      <xdr:row>26</xdr:row>
      <xdr:rowOff>225258</xdr:rowOff>
    </xdr:from>
    <xdr:to>
      <xdr:col>12</xdr:col>
      <xdr:colOff>471771</xdr:colOff>
      <xdr:row>40</xdr:row>
      <xdr:rowOff>97990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0</xdr:row>
      <xdr:rowOff>30480</xdr:rowOff>
    </xdr:from>
    <xdr:to>
      <xdr:col>17</xdr:col>
      <xdr:colOff>22860</xdr:colOff>
      <xdr:row>5</xdr:row>
      <xdr:rowOff>160020</xdr:rowOff>
    </xdr:to>
    <xdr:pic>
      <xdr:nvPicPr>
        <xdr:cNvPr id="5" name="Images 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30480"/>
          <a:ext cx="12738735" cy="93916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0</xdr:colOff>
      <xdr:row>0</xdr:row>
      <xdr:rowOff>30480</xdr:rowOff>
    </xdr:from>
    <xdr:to>
      <xdr:col>17</xdr:col>
      <xdr:colOff>22860</xdr:colOff>
      <xdr:row>5</xdr:row>
      <xdr:rowOff>160020</xdr:rowOff>
    </xdr:to>
    <xdr:pic>
      <xdr:nvPicPr>
        <xdr:cNvPr id="13" name="Images 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30480"/>
          <a:ext cx="13395960" cy="11455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8</xdr:row>
      <xdr:rowOff>0</xdr:rowOff>
    </xdr:from>
    <xdr:to>
      <xdr:col>12</xdr:col>
      <xdr:colOff>240909</xdr:colOff>
      <xdr:row>20</xdr:row>
      <xdr:rowOff>135988</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24</xdr:row>
      <xdr:rowOff>0</xdr:rowOff>
    </xdr:from>
    <xdr:to>
      <xdr:col>12</xdr:col>
      <xdr:colOff>240909</xdr:colOff>
      <xdr:row>38</xdr:row>
      <xdr:rowOff>6448</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30480</xdr:rowOff>
    </xdr:from>
    <xdr:to>
      <xdr:col>17</xdr:col>
      <xdr:colOff>22860</xdr:colOff>
      <xdr:row>5</xdr:row>
      <xdr:rowOff>160020</xdr:rowOff>
    </xdr:to>
    <xdr:pic>
      <xdr:nvPicPr>
        <xdr:cNvPr id="4" name="Images 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30480"/>
          <a:ext cx="13395960" cy="11455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0</xdr:colOff>
      <xdr:row>0</xdr:row>
      <xdr:rowOff>30480</xdr:rowOff>
    </xdr:from>
    <xdr:to>
      <xdr:col>17</xdr:col>
      <xdr:colOff>22860</xdr:colOff>
      <xdr:row>5</xdr:row>
      <xdr:rowOff>160020</xdr:rowOff>
    </xdr:to>
    <xdr:pic>
      <xdr:nvPicPr>
        <xdr:cNvPr id="5" name="Images 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30480"/>
          <a:ext cx="13395960" cy="11455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716280</xdr:colOff>
      <xdr:row>16</xdr:row>
      <xdr:rowOff>144780</xdr:rowOff>
    </xdr:from>
    <xdr:to>
      <xdr:col>12</xdr:col>
      <xdr:colOff>129540</xdr:colOff>
      <xdr:row>37</xdr:row>
      <xdr:rowOff>7620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177660</xdr:colOff>
      <xdr:row>43</xdr:row>
      <xdr:rowOff>110490</xdr:rowOff>
    </xdr:from>
    <xdr:to>
      <xdr:col>29</xdr:col>
      <xdr:colOff>107386</xdr:colOff>
      <xdr:row>62</xdr:row>
      <xdr:rowOff>46708</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22</xdr:col>
      <xdr:colOff>723900</xdr:colOff>
      <xdr:row>6</xdr:row>
      <xdr:rowOff>106680</xdr:rowOff>
    </xdr:to>
    <xdr:pic>
      <xdr:nvPicPr>
        <xdr:cNvPr id="4" name="Images 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13014960" cy="109728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40"/>
  <sheetViews>
    <sheetView zoomScaleNormal="100" workbookViewId="0"/>
  </sheetViews>
  <sheetFormatPr baseColWidth="10" defaultColWidth="8.81640625" defaultRowHeight="16"/>
  <cols>
    <col min="1" max="1" width="208.6328125" style="407" customWidth="1"/>
    <col min="2" max="10" width="10.81640625" style="407" customWidth="1"/>
    <col min="11" max="11" width="24.81640625" style="407" customWidth="1"/>
    <col min="12" max="16" width="10.81640625" style="407" customWidth="1"/>
    <col min="17" max="1023" width="10.54296875" style="407" customWidth="1"/>
    <col min="1024" max="1025" width="11.453125" style="407" customWidth="1"/>
    <col min="1026" max="16384" width="8.81640625" style="407"/>
  </cols>
  <sheetData>
    <row r="2" spans="1:16" ht="23.5">
      <c r="A2" s="406" t="s">
        <v>137</v>
      </c>
      <c r="E2" s="408"/>
    </row>
    <row r="3" spans="1:16" ht="17.5">
      <c r="A3" s="409" t="s">
        <v>170</v>
      </c>
      <c r="B3" s="410"/>
      <c r="C3" s="410"/>
      <c r="D3" s="410"/>
      <c r="E3" s="408"/>
      <c r="F3" s="408"/>
    </row>
    <row r="4" spans="1:16" ht="17.5">
      <c r="A4" s="411" t="s">
        <v>171</v>
      </c>
      <c r="B4" s="412"/>
      <c r="C4" s="412"/>
      <c r="D4" s="412"/>
      <c r="E4" s="413"/>
      <c r="F4" s="413"/>
      <c r="G4" s="413"/>
      <c r="H4" s="413"/>
      <c r="I4" s="413"/>
      <c r="J4" s="413"/>
      <c r="K4" s="413"/>
      <c r="L4" s="413"/>
      <c r="M4" s="413"/>
      <c r="N4" s="413"/>
      <c r="O4" s="413"/>
      <c r="P4" s="413"/>
    </row>
    <row r="5" spans="1:16" ht="17.5">
      <c r="A5" s="411" t="s">
        <v>172</v>
      </c>
      <c r="B5" s="412"/>
      <c r="C5" s="412"/>
      <c r="D5" s="412"/>
      <c r="E5" s="413"/>
      <c r="F5" s="413"/>
      <c r="G5" s="413"/>
      <c r="H5" s="413"/>
      <c r="I5" s="413"/>
      <c r="J5" s="413"/>
      <c r="K5" s="413"/>
      <c r="L5" s="413"/>
      <c r="M5" s="413"/>
      <c r="N5" s="413"/>
      <c r="O5" s="413"/>
      <c r="P5" s="413"/>
    </row>
    <row r="6" spans="1:16" ht="17.5">
      <c r="A6" s="411" t="s">
        <v>173</v>
      </c>
      <c r="B6" s="412"/>
      <c r="C6" s="412"/>
      <c r="D6" s="412"/>
      <c r="E6" s="413"/>
      <c r="F6" s="413"/>
      <c r="G6" s="413"/>
      <c r="H6" s="413"/>
      <c r="I6" s="413"/>
      <c r="J6" s="413"/>
      <c r="K6" s="413"/>
      <c r="L6" s="413"/>
      <c r="M6" s="413"/>
      <c r="N6" s="413"/>
      <c r="O6" s="413"/>
      <c r="P6" s="413"/>
    </row>
    <row r="7" spans="1:16" ht="17.5">
      <c r="A7" s="409" t="s">
        <v>174</v>
      </c>
      <c r="B7" s="412"/>
      <c r="C7" s="412"/>
      <c r="D7" s="412"/>
      <c r="E7" s="413"/>
      <c r="F7" s="413"/>
      <c r="G7" s="413"/>
      <c r="H7" s="413"/>
      <c r="I7" s="413"/>
      <c r="J7" s="413"/>
      <c r="K7" s="413"/>
      <c r="L7" s="413"/>
      <c r="M7" s="413"/>
      <c r="N7" s="413"/>
      <c r="O7" s="413"/>
      <c r="P7" s="413"/>
    </row>
    <row r="8" spans="1:16" ht="17.5">
      <c r="A8" s="409" t="s">
        <v>175</v>
      </c>
      <c r="B8" s="412"/>
      <c r="C8" s="412"/>
      <c r="D8" s="412"/>
      <c r="E8" s="413"/>
      <c r="F8" s="413"/>
      <c r="G8" s="413"/>
      <c r="H8" s="413"/>
      <c r="I8" s="413"/>
      <c r="J8" s="413"/>
      <c r="K8" s="413"/>
      <c r="L8" s="413"/>
      <c r="M8" s="413"/>
      <c r="N8" s="413"/>
      <c r="O8" s="413"/>
      <c r="P8" s="413"/>
    </row>
    <row r="9" spans="1:16" ht="17.5">
      <c r="A9" s="409" t="s">
        <v>0</v>
      </c>
      <c r="B9" s="412"/>
      <c r="C9" s="412"/>
      <c r="D9" s="412"/>
      <c r="E9" s="413"/>
      <c r="F9" s="413"/>
      <c r="G9" s="413"/>
      <c r="H9" s="413"/>
      <c r="I9" s="413"/>
      <c r="J9" s="413"/>
      <c r="K9" s="413"/>
      <c r="L9" s="413"/>
      <c r="M9" s="413"/>
      <c r="N9" s="413"/>
      <c r="O9" s="413"/>
      <c r="P9" s="413"/>
    </row>
    <row r="10" spans="1:16" ht="23.5">
      <c r="A10" s="406"/>
      <c r="B10" s="414"/>
      <c r="C10" s="414"/>
      <c r="D10" s="414"/>
      <c r="E10" s="408"/>
      <c r="F10" s="408"/>
    </row>
    <row r="11" spans="1:16" ht="18.5">
      <c r="A11" s="415"/>
      <c r="B11" s="415"/>
      <c r="C11" s="415"/>
      <c r="D11" s="415"/>
      <c r="H11" s="416"/>
    </row>
    <row r="12" spans="1:16" ht="17.5">
      <c r="A12" s="414"/>
    </row>
    <row r="13" spans="1:16" ht="17.5">
      <c r="A13" s="417"/>
    </row>
    <row r="14" spans="1:16">
      <c r="A14" s="418"/>
    </row>
    <row r="15" spans="1:16">
      <c r="A15" s="418"/>
    </row>
    <row r="16" spans="1:16">
      <c r="A16" s="418"/>
    </row>
    <row r="17" spans="1:1">
      <c r="A17" s="418"/>
    </row>
    <row r="18" spans="1:1">
      <c r="A18" s="418"/>
    </row>
    <row r="19" spans="1:1">
      <c r="A19" s="418"/>
    </row>
    <row r="20" spans="1:1" ht="17.5">
      <c r="A20" s="417"/>
    </row>
    <row r="21" spans="1:1">
      <c r="A21" s="418"/>
    </row>
    <row r="22" spans="1:1">
      <c r="A22" s="418"/>
    </row>
    <row r="23" spans="1:1">
      <c r="A23" s="418"/>
    </row>
    <row r="24" spans="1:1">
      <c r="A24" s="418"/>
    </row>
    <row r="25" spans="1:1" ht="17.5">
      <c r="A25" s="417"/>
    </row>
    <row r="26" spans="1:1" ht="20" customHeight="1">
      <c r="A26" s="418"/>
    </row>
    <row r="27" spans="1:1">
      <c r="A27" s="419"/>
    </row>
    <row r="28" spans="1:1">
      <c r="A28" s="418"/>
    </row>
    <row r="29" spans="1:1">
      <c r="A29" s="418"/>
    </row>
    <row r="30" spans="1:1">
      <c r="A30" s="418"/>
    </row>
    <row r="31" spans="1:1">
      <c r="A31" s="418"/>
    </row>
    <row r="32" spans="1:1">
      <c r="A32" s="418"/>
    </row>
    <row r="33" spans="1:1">
      <c r="A33" s="419"/>
    </row>
    <row r="34" spans="1:1" ht="20.5" customHeight="1">
      <c r="A34" s="418"/>
    </row>
    <row r="35" spans="1:1">
      <c r="A35" s="418"/>
    </row>
    <row r="36" spans="1:1">
      <c r="A36" s="418"/>
    </row>
    <row r="37" spans="1:1">
      <c r="A37" s="418"/>
    </row>
    <row r="38" spans="1:1">
      <c r="A38" s="418"/>
    </row>
    <row r="39" spans="1:1">
      <c r="A39" s="418"/>
    </row>
    <row r="40" spans="1:1">
      <c r="A40" s="418"/>
    </row>
  </sheetData>
  <hyperlinks>
    <hyperlink ref="A9" location="'Evol.sole-régionale_Blés'!A1" display="Evolution de la sole régionale des blés"/>
    <hyperlink ref="A4" location="GC_Estim1_06_SURF_RDT_24_25!A1" display="Estimations des surfaces et rendements campagne 2024/2025"/>
    <hyperlink ref="A3" location="Calendrier_Estim_production!A1" display="Calendrier_Estim_production"/>
    <hyperlink ref="A7" location="Cotations_cereales!A1" display="Cotations_cereales"/>
    <hyperlink ref="A8" location="Cotations_oleoproteagineux!A1" display="Cotations_oleoproteagineux"/>
    <hyperlink ref="A5" location="GC_Estim1_06_SURF_24_25!A1" display="Estimations des surfaces campagne 2024/2025"/>
    <hyperlink ref="A6" location="GC_Estim1_06_RDT_24_25!A1" display="Estimations des rendements campagne 2024/2025"/>
  </hyperlinks>
  <pageMargins left="0" right="0" top="0.13888888888888901" bottom="0.13888888888888901" header="0" footer="0"/>
  <pageSetup paperSize="9" firstPageNumber="0" pageOrder="overThenDown" orientation="portrait" horizontalDpi="300" verticalDpi="300" r:id="rId1"/>
  <headerFooter>
    <oddHeader>&amp;C&amp;A</oddHeader>
    <oddFooter>&amp;CPage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9"/>
  <sheetViews>
    <sheetView zoomScaleNormal="100" zoomScalePageLayoutView="60" workbookViewId="0">
      <selection activeCell="Q21" sqref="Q21"/>
    </sheetView>
  </sheetViews>
  <sheetFormatPr baseColWidth="10" defaultColWidth="8.81640625" defaultRowHeight="12.5"/>
  <cols>
    <col min="1" max="1" width="24.81640625" style="1" customWidth="1"/>
    <col min="2" max="13" width="8.453125" style="1" customWidth="1"/>
    <col min="14" max="1023" width="10.54296875" style="1" customWidth="1"/>
    <col min="1024" max="1025" width="11.453125" style="1" customWidth="1"/>
  </cols>
  <sheetData>
    <row r="1" spans="1:13" ht="15" customHeight="1">
      <c r="A1" s="2" t="s">
        <v>1</v>
      </c>
      <c r="B1" s="3"/>
      <c r="C1" s="4"/>
      <c r="D1" s="4"/>
      <c r="E1" s="4"/>
      <c r="F1" s="4"/>
      <c r="G1" s="4"/>
      <c r="H1" s="4"/>
      <c r="I1" s="4"/>
      <c r="J1" s="4"/>
      <c r="K1" s="4"/>
      <c r="L1" s="4"/>
      <c r="M1" s="4"/>
    </row>
    <row r="3" spans="1:13" ht="17.5">
      <c r="A3" s="5" t="s">
        <v>2</v>
      </c>
      <c r="B3" s="4"/>
      <c r="C3" s="4"/>
      <c r="D3" s="4"/>
      <c r="E3" s="4"/>
      <c r="F3" s="4"/>
      <c r="G3" s="4"/>
      <c r="H3" s="4"/>
      <c r="I3" s="4"/>
      <c r="J3" s="4"/>
      <c r="K3" s="4"/>
      <c r="L3" s="4"/>
      <c r="M3" s="4"/>
    </row>
    <row r="4" spans="1:13" ht="17.5">
      <c r="A4" s="6" t="s">
        <v>3</v>
      </c>
      <c r="B4" s="7"/>
      <c r="C4" s="4"/>
      <c r="D4" s="4"/>
      <c r="E4" s="4"/>
      <c r="F4" s="4"/>
      <c r="G4" s="4"/>
      <c r="H4" s="4"/>
      <c r="I4" s="4"/>
      <c r="J4" s="4"/>
      <c r="K4" s="4"/>
      <c r="L4" s="4"/>
      <c r="M4" s="4"/>
    </row>
    <row r="5" spans="1:13" ht="17.5">
      <c r="A5" s="7"/>
      <c r="B5" s="8" t="s">
        <v>4</v>
      </c>
      <c r="C5" s="8" t="s">
        <v>5</v>
      </c>
      <c r="D5" s="8" t="s">
        <v>6</v>
      </c>
      <c r="E5" s="8" t="s">
        <v>7</v>
      </c>
      <c r="F5" s="8" t="s">
        <v>8</v>
      </c>
      <c r="G5" s="8" t="s">
        <v>9</v>
      </c>
      <c r="H5" s="8" t="s">
        <v>10</v>
      </c>
      <c r="I5" s="8" t="s">
        <v>11</v>
      </c>
      <c r="J5" s="8" t="s">
        <v>12</v>
      </c>
      <c r="K5" s="8" t="s">
        <v>13</v>
      </c>
      <c r="L5" s="8" t="s">
        <v>14</v>
      </c>
      <c r="M5" s="8" t="s">
        <v>15</v>
      </c>
    </row>
    <row r="6" spans="1:13" ht="17.5">
      <c r="A6" s="9" t="s">
        <v>16</v>
      </c>
      <c r="B6" s="10"/>
      <c r="C6" s="11"/>
      <c r="D6" s="5"/>
      <c r="E6" s="11"/>
      <c r="F6" s="5"/>
      <c r="G6" s="11"/>
      <c r="H6" s="5"/>
      <c r="I6" s="12"/>
      <c r="J6" s="6"/>
      <c r="K6" s="12"/>
      <c r="L6" s="6"/>
      <c r="M6" s="12"/>
    </row>
    <row r="7" spans="1:13" ht="17.5">
      <c r="A7" s="3" t="s">
        <v>17</v>
      </c>
      <c r="B7" s="13"/>
      <c r="C7" s="13"/>
      <c r="D7" s="4"/>
      <c r="E7" s="13"/>
      <c r="F7" s="4"/>
      <c r="G7" s="13"/>
      <c r="H7" s="4"/>
      <c r="I7" s="13"/>
      <c r="J7" s="4"/>
      <c r="K7" s="13"/>
      <c r="L7" s="4"/>
      <c r="M7" s="13"/>
    </row>
    <row r="8" spans="1:13" ht="17.5">
      <c r="A8" s="3" t="s">
        <v>18</v>
      </c>
      <c r="B8" s="11"/>
      <c r="C8" s="11"/>
      <c r="D8" s="5"/>
      <c r="E8" s="11"/>
      <c r="F8" s="5"/>
      <c r="G8" s="11"/>
      <c r="H8" s="5"/>
      <c r="I8" s="12"/>
      <c r="J8" s="6"/>
      <c r="K8" s="12"/>
      <c r="L8" s="6"/>
      <c r="M8" s="12"/>
    </row>
    <row r="9" spans="1:13" ht="17.5">
      <c r="A9" s="3" t="s">
        <v>19</v>
      </c>
      <c r="B9" s="13"/>
      <c r="C9" s="13"/>
      <c r="D9" s="4"/>
      <c r="E9" s="13"/>
      <c r="F9" s="4"/>
      <c r="G9" s="13"/>
      <c r="H9" s="4"/>
      <c r="I9" s="13"/>
      <c r="J9" s="4"/>
      <c r="K9" s="13"/>
      <c r="L9" s="4"/>
      <c r="M9" s="13"/>
    </row>
    <row r="10" spans="1:13" ht="17.5">
      <c r="A10" s="3" t="s">
        <v>20</v>
      </c>
      <c r="B10" s="11"/>
      <c r="C10" s="11"/>
      <c r="D10" s="5"/>
      <c r="E10" s="11"/>
      <c r="F10" s="5"/>
      <c r="G10" s="11"/>
      <c r="H10" s="6"/>
      <c r="I10" s="12"/>
      <c r="J10" s="6"/>
      <c r="K10" s="12"/>
      <c r="L10" s="6"/>
      <c r="M10" s="12"/>
    </row>
    <row r="11" spans="1:13" ht="17.5">
      <c r="A11" s="3" t="s">
        <v>21</v>
      </c>
      <c r="B11" s="13"/>
      <c r="C11" s="13"/>
      <c r="D11" s="4"/>
      <c r="E11" s="13"/>
      <c r="F11" s="4"/>
      <c r="G11" s="13"/>
      <c r="H11" s="4"/>
      <c r="I11" s="13"/>
      <c r="J11" s="4"/>
      <c r="K11" s="13"/>
      <c r="L11" s="4"/>
      <c r="M11" s="13"/>
    </row>
    <row r="12" spans="1:13" ht="17.5">
      <c r="A12" s="3" t="s">
        <v>22</v>
      </c>
      <c r="B12" s="11"/>
      <c r="C12" s="11"/>
      <c r="D12" s="5"/>
      <c r="E12" s="11"/>
      <c r="F12" s="5"/>
      <c r="G12" s="11"/>
      <c r="H12" s="5"/>
      <c r="I12" s="12"/>
      <c r="J12" s="6"/>
      <c r="K12" s="12"/>
      <c r="L12" s="6"/>
      <c r="M12" s="12"/>
    </row>
    <row r="13" spans="1:13" ht="17.5">
      <c r="A13" s="3" t="s">
        <v>23</v>
      </c>
      <c r="B13" s="13"/>
      <c r="C13" s="13"/>
      <c r="D13" s="4"/>
      <c r="E13" s="13"/>
      <c r="F13" s="4"/>
      <c r="G13" s="13"/>
      <c r="H13" s="4"/>
      <c r="I13" s="13"/>
      <c r="J13" s="4"/>
      <c r="K13" s="13"/>
      <c r="L13" s="4"/>
      <c r="M13" s="13"/>
    </row>
    <row r="14" spans="1:13" ht="17.5">
      <c r="A14" s="3" t="s">
        <v>24</v>
      </c>
      <c r="B14" s="11"/>
      <c r="C14" s="11"/>
      <c r="D14" s="5"/>
      <c r="E14" s="11"/>
      <c r="F14" s="5"/>
      <c r="G14" s="11"/>
      <c r="H14" s="5"/>
      <c r="I14" s="12"/>
      <c r="J14" s="6"/>
      <c r="K14" s="12"/>
      <c r="L14" s="6"/>
      <c r="M14" s="12"/>
    </row>
    <row r="15" spans="1:13" ht="17.5">
      <c r="A15" s="3" t="s">
        <v>25</v>
      </c>
      <c r="B15" s="11"/>
      <c r="C15" s="11"/>
      <c r="D15" s="5"/>
      <c r="E15" s="11"/>
      <c r="F15" s="5"/>
      <c r="G15" s="11"/>
      <c r="H15" s="5"/>
      <c r="I15" s="12"/>
      <c r="J15" s="6"/>
      <c r="K15" s="12"/>
      <c r="L15" s="6"/>
      <c r="M15" s="12"/>
    </row>
    <row r="16" spans="1:13" ht="17.5">
      <c r="A16" s="3" t="s">
        <v>26</v>
      </c>
      <c r="B16" s="13"/>
      <c r="C16" s="13"/>
      <c r="D16" s="4"/>
      <c r="E16" s="13"/>
      <c r="F16" s="4"/>
      <c r="G16" s="11"/>
      <c r="H16" s="5"/>
      <c r="I16" s="11"/>
      <c r="J16" s="6"/>
      <c r="K16" s="12"/>
      <c r="L16" s="6"/>
      <c r="M16" s="12"/>
    </row>
    <row r="17" spans="1:13" ht="17.5">
      <c r="A17" s="3" t="s">
        <v>27</v>
      </c>
      <c r="B17" s="13"/>
      <c r="C17" s="13"/>
      <c r="D17" s="4"/>
      <c r="E17" s="13"/>
      <c r="F17" s="4"/>
      <c r="G17" s="11"/>
      <c r="H17" s="5"/>
      <c r="I17" s="11"/>
      <c r="J17" s="6"/>
      <c r="K17" s="12"/>
      <c r="L17" s="6"/>
      <c r="M17" s="12"/>
    </row>
    <row r="18" spans="1:13" s="19" customFormat="1" ht="17.5">
      <c r="A18" s="3" t="s">
        <v>120</v>
      </c>
      <c r="B18" s="13"/>
      <c r="C18" s="13"/>
      <c r="D18" s="4"/>
      <c r="E18" s="13"/>
      <c r="F18" s="4"/>
      <c r="G18" s="11"/>
      <c r="H18" s="5"/>
      <c r="I18" s="6"/>
      <c r="J18" s="6"/>
      <c r="K18" s="12"/>
      <c r="L18" s="6"/>
      <c r="M18" s="12"/>
    </row>
    <row r="19" spans="1:13" ht="17.5">
      <c r="A19" s="3" t="s">
        <v>28</v>
      </c>
      <c r="B19" s="11"/>
      <c r="C19" s="11"/>
      <c r="D19" s="5"/>
      <c r="E19" s="11"/>
      <c r="F19" s="5"/>
      <c r="G19" s="11"/>
      <c r="H19" s="6"/>
      <c r="I19" s="12"/>
      <c r="J19" s="6"/>
      <c r="K19" s="12"/>
      <c r="L19" s="6"/>
      <c r="M19" s="12"/>
    </row>
    <row r="20" spans="1:13" ht="17.5">
      <c r="A20" s="3" t="s">
        <v>29</v>
      </c>
      <c r="B20" s="13"/>
      <c r="C20" s="13"/>
      <c r="D20" s="4"/>
      <c r="E20" s="13"/>
      <c r="F20" s="4"/>
      <c r="G20" s="13"/>
      <c r="H20" s="4"/>
      <c r="I20" s="13"/>
      <c r="J20" s="4"/>
      <c r="K20" s="13"/>
      <c r="L20" s="4"/>
      <c r="M20" s="13"/>
    </row>
    <row r="21" spans="1:13" ht="17.5">
      <c r="A21" s="3" t="s">
        <v>30</v>
      </c>
      <c r="B21" s="13"/>
      <c r="C21" s="13"/>
      <c r="D21" s="4"/>
      <c r="E21" s="13"/>
      <c r="F21" s="4"/>
      <c r="G21" s="11"/>
      <c r="H21" s="5"/>
      <c r="I21" s="11"/>
      <c r="J21" s="6"/>
      <c r="K21" s="12"/>
      <c r="L21" s="6"/>
      <c r="M21" s="12"/>
    </row>
    <row r="22" spans="1:13" ht="17.5">
      <c r="A22" s="3" t="s">
        <v>31</v>
      </c>
      <c r="B22" s="13"/>
      <c r="C22" s="13"/>
      <c r="D22" s="4"/>
      <c r="E22" s="13"/>
      <c r="F22" s="4"/>
      <c r="G22" s="11"/>
      <c r="H22" s="5"/>
      <c r="I22" s="11"/>
      <c r="J22" s="6"/>
      <c r="K22" s="12"/>
      <c r="L22" s="6"/>
      <c r="M22" s="12"/>
    </row>
    <row r="23" spans="1:13" ht="17.5">
      <c r="A23" s="3" t="s">
        <v>32</v>
      </c>
      <c r="B23" s="13"/>
      <c r="C23" s="13"/>
      <c r="D23" s="4"/>
      <c r="E23" s="13"/>
      <c r="F23" s="5"/>
      <c r="G23" s="11"/>
      <c r="H23" s="5"/>
      <c r="I23" s="12"/>
      <c r="J23" s="6"/>
      <c r="K23" s="12"/>
      <c r="L23" s="6"/>
      <c r="M23" s="12"/>
    </row>
    <row r="24" spans="1:13" ht="17.5">
      <c r="A24" s="3" t="s">
        <v>33</v>
      </c>
      <c r="B24" s="13"/>
      <c r="C24" s="13"/>
      <c r="D24" s="4"/>
      <c r="E24" s="13"/>
      <c r="F24" s="5"/>
      <c r="G24" s="11"/>
      <c r="H24" s="5"/>
      <c r="I24" s="12"/>
      <c r="J24" s="6"/>
      <c r="K24" s="12"/>
      <c r="L24" s="6"/>
      <c r="M24" s="12"/>
    </row>
    <row r="25" spans="1:13" ht="17.5">
      <c r="A25" s="3" t="s">
        <v>34</v>
      </c>
      <c r="B25" s="13"/>
      <c r="C25" s="13"/>
      <c r="D25" s="4"/>
      <c r="E25" s="13"/>
      <c r="F25" s="5"/>
      <c r="G25" s="11"/>
      <c r="H25" s="5"/>
      <c r="I25" s="12"/>
      <c r="J25" s="6"/>
      <c r="K25" s="12"/>
      <c r="L25" s="6"/>
      <c r="M25" s="12"/>
    </row>
    <row r="26" spans="1:13" ht="17.5">
      <c r="A26" s="3" t="s">
        <v>35</v>
      </c>
      <c r="B26" s="13"/>
      <c r="C26" s="13"/>
      <c r="D26" s="4"/>
      <c r="E26" s="13"/>
      <c r="F26" s="4"/>
      <c r="G26" s="13"/>
      <c r="H26" s="4"/>
      <c r="I26" s="13"/>
      <c r="J26" s="4"/>
      <c r="K26" s="13"/>
      <c r="L26" s="4"/>
      <c r="M26" s="13"/>
    </row>
    <row r="27" spans="1:13" ht="17.5">
      <c r="A27" s="3" t="s">
        <v>36</v>
      </c>
      <c r="B27" s="13"/>
      <c r="C27" s="13"/>
      <c r="D27" s="4"/>
      <c r="E27" s="13"/>
      <c r="F27" s="4"/>
      <c r="G27" s="13"/>
      <c r="H27" s="4"/>
      <c r="I27" s="13"/>
      <c r="J27" s="4"/>
      <c r="K27" s="13"/>
      <c r="L27" s="4"/>
      <c r="M27" s="13"/>
    </row>
    <row r="28" spans="1:13" ht="17.5">
      <c r="A28" s="14" t="s">
        <v>37</v>
      </c>
      <c r="B28" s="15"/>
      <c r="C28" s="15"/>
      <c r="D28" s="7"/>
      <c r="E28" s="15"/>
      <c r="F28" s="7"/>
      <c r="G28" s="16"/>
      <c r="H28" s="17"/>
      <c r="I28" s="16"/>
      <c r="J28" s="17"/>
      <c r="K28" s="16"/>
      <c r="L28" s="17"/>
      <c r="M28" s="16"/>
    </row>
    <row r="29" spans="1:13" ht="17.5">
      <c r="A29" s="4"/>
      <c r="B29" s="4"/>
      <c r="C29" s="4"/>
      <c r="D29" s="4"/>
      <c r="E29" s="4"/>
      <c r="F29" s="4"/>
      <c r="G29" s="18" t="s">
        <v>38</v>
      </c>
      <c r="H29" s="4"/>
      <c r="I29" s="4"/>
      <c r="J29" s="4"/>
      <c r="K29" s="4"/>
      <c r="L29" s="4"/>
      <c r="M29" s="4"/>
    </row>
  </sheetData>
  <customSheetViews>
    <customSheetView guid="{ED3D59C6-95D8-425D-B182-A385DC662969}">
      <pageMargins left="0" right="0" top="0.13888888888888901" bottom="0.13888888888888901" header="0" footer="0"/>
      <pageSetup paperSize="9" firstPageNumber="0" pageOrder="overThenDown" orientation="portrait" horizontalDpi="300" verticalDpi="300"/>
      <headerFooter>
        <oddHeader>&amp;C&amp;A</oddHeader>
        <oddFooter>&amp;CPage &amp;P</oddFooter>
      </headerFooter>
    </customSheetView>
  </customSheetViews>
  <pageMargins left="0" right="0" top="0.13888888888888901" bottom="0.13888888888888901" header="0" footer="0"/>
  <pageSetup paperSize="9" firstPageNumber="0" pageOrder="overThenDown" orientation="portrait" horizontalDpi="300" verticalDpi="300"/>
  <headerFooter>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AA90"/>
  <sheetViews>
    <sheetView showGridLines="0" tabSelected="1" topLeftCell="A12" zoomScale="66" zoomScaleNormal="66" zoomScaleSheetLayoutView="100" workbookViewId="0">
      <selection activeCell="Z25" sqref="Z25:Z30"/>
    </sheetView>
  </sheetViews>
  <sheetFormatPr baseColWidth="10" defaultColWidth="11.54296875" defaultRowHeight="12.5"/>
  <cols>
    <col min="1" max="1" width="21.81640625" style="95" customWidth="1"/>
    <col min="2" max="2" width="11.81640625" style="95" customWidth="1"/>
    <col min="3" max="4" width="9.453125" style="95" customWidth="1"/>
    <col min="5" max="6" width="10.453125" style="95" customWidth="1"/>
    <col min="7" max="7" width="9.453125" style="95" customWidth="1"/>
    <col min="8" max="8" width="9.54296875" style="95" customWidth="1"/>
    <col min="9" max="9" width="9.453125" style="95" customWidth="1"/>
    <col min="10" max="10" width="10.453125" style="95" customWidth="1"/>
    <col min="11" max="11" width="9.453125" style="95" customWidth="1"/>
    <col min="12" max="12" width="10" style="95" customWidth="1"/>
    <col min="13" max="14" width="9.54296875" style="95" customWidth="1"/>
    <col min="15" max="15" width="14" style="95" customWidth="1"/>
    <col min="16" max="16" width="13.81640625" style="95" customWidth="1"/>
    <col min="17" max="18" width="12.1796875" style="95" customWidth="1"/>
    <col min="19" max="19" width="16.54296875" style="95" customWidth="1"/>
    <col min="20" max="20" width="13.1796875" style="95" customWidth="1"/>
    <col min="21" max="21" width="13.453125" style="95" customWidth="1"/>
    <col min="22" max="22" width="13.54296875" style="95" customWidth="1"/>
    <col min="23" max="23" width="11.54296875" style="95"/>
    <col min="24" max="24" width="13" style="95" customWidth="1"/>
    <col min="25" max="16384" width="11.54296875" style="95"/>
  </cols>
  <sheetData>
    <row r="1" spans="1:26" ht="16">
      <c r="A1" s="452"/>
      <c r="B1" s="452"/>
      <c r="C1" s="452"/>
      <c r="D1" s="452"/>
      <c r="E1" s="452"/>
      <c r="F1" s="452"/>
      <c r="G1" s="452"/>
      <c r="H1" s="452"/>
      <c r="I1" s="452"/>
      <c r="J1" s="452"/>
      <c r="K1" s="452"/>
      <c r="L1" s="452"/>
      <c r="M1" s="452"/>
      <c r="N1" s="204"/>
      <c r="Q1" s="188"/>
      <c r="R1" s="188"/>
      <c r="U1" s="245" t="s">
        <v>138</v>
      </c>
    </row>
    <row r="2" spans="1:26" ht="13">
      <c r="A2" s="96"/>
      <c r="Q2" s="188"/>
      <c r="R2" s="188"/>
    </row>
    <row r="3" spans="1:26" ht="13">
      <c r="A3" s="96"/>
      <c r="Q3" s="188"/>
      <c r="R3" s="188"/>
    </row>
    <row r="4" spans="1:26" ht="13">
      <c r="A4" s="96"/>
      <c r="Q4" s="188"/>
      <c r="R4" s="188"/>
    </row>
    <row r="5" spans="1:26" ht="13">
      <c r="A5" s="96"/>
      <c r="Q5" s="188"/>
      <c r="R5" s="188"/>
    </row>
    <row r="6" spans="1:26" ht="13">
      <c r="A6" s="96"/>
      <c r="Q6" s="188"/>
      <c r="R6" s="188"/>
    </row>
    <row r="7" spans="1:26" ht="14">
      <c r="B7" s="97"/>
      <c r="C7" s="97"/>
      <c r="D7" s="97"/>
      <c r="E7" s="98"/>
      <c r="F7" s="98"/>
      <c r="G7" s="98"/>
      <c r="H7" s="98"/>
      <c r="I7" s="98"/>
      <c r="J7" s="98"/>
      <c r="K7" s="99"/>
      <c r="L7" s="99"/>
      <c r="M7" s="99"/>
      <c r="N7" s="99"/>
      <c r="O7" s="99"/>
      <c r="P7" s="99"/>
      <c r="Q7" s="99"/>
      <c r="R7" s="99"/>
      <c r="S7" s="99"/>
      <c r="V7" s="100"/>
    </row>
    <row r="8" spans="1:26" ht="26.25" customHeight="1">
      <c r="B8" s="97"/>
      <c r="C8" s="97"/>
      <c r="D8" s="97"/>
      <c r="E8" s="98"/>
      <c r="F8" s="98"/>
      <c r="G8" s="98"/>
      <c r="H8" s="98"/>
      <c r="I8" s="98"/>
      <c r="J8" s="98"/>
      <c r="K8" s="99"/>
      <c r="L8" s="99"/>
      <c r="M8" s="99"/>
      <c r="N8" s="99"/>
      <c r="O8" s="99"/>
      <c r="P8" s="99"/>
      <c r="Q8" s="99"/>
      <c r="R8" s="99"/>
      <c r="S8" s="99"/>
      <c r="V8" s="100"/>
    </row>
    <row r="9" spans="1:26" ht="14.5" thickBot="1">
      <c r="B9" s="97"/>
      <c r="C9" s="97"/>
      <c r="D9" s="97"/>
      <c r="E9" s="98"/>
      <c r="F9" s="98"/>
      <c r="G9" s="98"/>
      <c r="H9" s="98"/>
      <c r="I9" s="98"/>
      <c r="J9" s="98"/>
      <c r="K9" s="99"/>
      <c r="L9" s="99"/>
      <c r="M9" s="99"/>
      <c r="N9" s="99"/>
      <c r="O9" s="99"/>
      <c r="P9" s="99"/>
      <c r="Q9" s="99"/>
      <c r="R9" s="99"/>
      <c r="S9" s="99"/>
      <c r="V9" s="100"/>
    </row>
    <row r="10" spans="1:26" ht="17.5">
      <c r="A10" s="209" t="s">
        <v>176</v>
      </c>
      <c r="B10" s="210"/>
      <c r="C10" s="210"/>
      <c r="D10" s="210"/>
      <c r="E10" s="210"/>
      <c r="F10" s="319"/>
      <c r="G10" s="211"/>
      <c r="H10" s="211"/>
      <c r="I10" s="211"/>
      <c r="J10" s="211"/>
      <c r="K10" s="212"/>
      <c r="L10" s="212"/>
      <c r="M10" s="212"/>
      <c r="N10" s="212"/>
      <c r="O10" s="212"/>
      <c r="P10" s="212"/>
      <c r="Q10" s="212"/>
      <c r="R10" s="212"/>
      <c r="S10" s="213"/>
      <c r="U10" s="187" t="s">
        <v>130</v>
      </c>
      <c r="V10" s="166"/>
      <c r="W10" s="167"/>
      <c r="X10" s="167"/>
      <c r="Y10" s="168"/>
    </row>
    <row r="11" spans="1:26" ht="14.25" customHeight="1">
      <c r="A11" s="318" t="s">
        <v>119</v>
      </c>
      <c r="B11" s="184"/>
      <c r="C11" s="184"/>
      <c r="D11" s="184"/>
      <c r="E11" s="184"/>
      <c r="F11" s="184"/>
      <c r="G11" s="321"/>
      <c r="H11" s="95" t="s">
        <v>158</v>
      </c>
      <c r="I11" s="161"/>
      <c r="J11" s="161"/>
      <c r="N11" s="162"/>
      <c r="O11" s="320"/>
      <c r="P11" s="161" t="s">
        <v>149</v>
      </c>
      <c r="Q11" s="162"/>
      <c r="R11" s="162"/>
      <c r="S11" s="214"/>
      <c r="U11" s="193" t="s">
        <v>179</v>
      </c>
      <c r="V11" s="183"/>
      <c r="W11" s="186"/>
      <c r="X11" s="186"/>
      <c r="Y11" s="185"/>
    </row>
    <row r="12" spans="1:26" ht="14.25" customHeight="1">
      <c r="A12" s="215"/>
      <c r="B12" s="184"/>
      <c r="C12" s="184"/>
      <c r="D12" s="184"/>
      <c r="E12" s="184"/>
      <c r="F12" s="184"/>
      <c r="G12" s="200"/>
      <c r="H12" s="95" t="s">
        <v>157</v>
      </c>
      <c r="I12" s="161"/>
      <c r="J12" s="161"/>
      <c r="K12" s="162"/>
      <c r="L12" s="162"/>
      <c r="M12" s="162"/>
      <c r="N12" s="162"/>
      <c r="O12" s="162"/>
      <c r="P12" s="162"/>
      <c r="Q12" s="162"/>
      <c r="R12" s="162"/>
      <c r="S12" s="214"/>
      <c r="U12" s="169"/>
      <c r="V12" s="183"/>
      <c r="W12" s="170"/>
      <c r="X12" s="170"/>
      <c r="Y12" s="171"/>
    </row>
    <row r="13" spans="1:26" ht="12" customHeight="1" thickBot="1">
      <c r="A13" s="216" t="s">
        <v>87</v>
      </c>
      <c r="B13" s="217"/>
      <c r="C13" s="217"/>
      <c r="D13" s="217"/>
      <c r="E13" s="217"/>
      <c r="F13" s="217"/>
      <c r="G13" s="218"/>
      <c r="H13" s="218"/>
      <c r="I13" s="218"/>
      <c r="J13" s="218"/>
      <c r="K13" s="219"/>
      <c r="L13" s="219"/>
      <c r="M13" s="219"/>
      <c r="N13" s="219"/>
      <c r="O13" s="219"/>
      <c r="P13" s="219"/>
      <c r="Q13" s="219"/>
      <c r="R13" s="219"/>
      <c r="S13" s="220"/>
      <c r="T13" s="101"/>
      <c r="U13" s="174" t="s">
        <v>93</v>
      </c>
      <c r="V13" s="172"/>
      <c r="W13" s="172"/>
      <c r="X13" s="172"/>
      <c r="Y13" s="173"/>
    </row>
    <row r="14" spans="1:26" ht="67.5" customHeight="1" thickBot="1">
      <c r="A14" s="235" t="s">
        <v>94</v>
      </c>
      <c r="B14" s="234"/>
      <c r="C14" s="236" t="s">
        <v>39</v>
      </c>
      <c r="D14" s="237" t="s">
        <v>40</v>
      </c>
      <c r="E14" s="237" t="s">
        <v>41</v>
      </c>
      <c r="F14" s="237" t="s">
        <v>42</v>
      </c>
      <c r="G14" s="237" t="s">
        <v>43</v>
      </c>
      <c r="H14" s="237" t="s">
        <v>44</v>
      </c>
      <c r="I14" s="237" t="s">
        <v>45</v>
      </c>
      <c r="J14" s="241" t="s">
        <v>46</v>
      </c>
      <c r="K14" s="382" t="s">
        <v>47</v>
      </c>
      <c r="L14" s="383" t="s">
        <v>48</v>
      </c>
      <c r="M14" s="383" t="s">
        <v>49</v>
      </c>
      <c r="N14" s="383" t="s">
        <v>128</v>
      </c>
      <c r="O14" s="384" t="s">
        <v>129</v>
      </c>
      <c r="P14" s="369" t="s">
        <v>50</v>
      </c>
      <c r="Q14" s="369" t="s">
        <v>180</v>
      </c>
      <c r="R14" s="353" t="s">
        <v>166</v>
      </c>
      <c r="S14" s="354" t="s">
        <v>167</v>
      </c>
      <c r="T14" s="117"/>
      <c r="U14" s="163" t="s">
        <v>90</v>
      </c>
      <c r="V14" s="164" t="s">
        <v>51</v>
      </c>
      <c r="W14" s="164" t="s">
        <v>52</v>
      </c>
      <c r="X14" s="165" t="s">
        <v>164</v>
      </c>
      <c r="Y14" s="165" t="s">
        <v>165</v>
      </c>
      <c r="Z14" s="151"/>
    </row>
    <row r="15" spans="1:26" ht="16">
      <c r="A15" s="453" t="s">
        <v>131</v>
      </c>
      <c r="B15" s="308" t="s">
        <v>2</v>
      </c>
      <c r="C15" s="309">
        <v>6600</v>
      </c>
      <c r="D15" s="310">
        <v>19875</v>
      </c>
      <c r="E15" s="310">
        <v>47000</v>
      </c>
      <c r="F15" s="310">
        <v>81450</v>
      </c>
      <c r="G15" s="310">
        <v>8580</v>
      </c>
      <c r="H15" s="310">
        <v>3450</v>
      </c>
      <c r="I15" s="310">
        <v>42280</v>
      </c>
      <c r="J15" s="311">
        <v>34050</v>
      </c>
      <c r="K15" s="385">
        <v>9420</v>
      </c>
      <c r="L15" s="386">
        <v>1810</v>
      </c>
      <c r="M15" s="386">
        <v>3000</v>
      </c>
      <c r="N15" s="386">
        <v>2330</v>
      </c>
      <c r="O15" s="387">
        <v>300</v>
      </c>
      <c r="P15" s="370">
        <f>SUM(C15:O15)</f>
        <v>260145</v>
      </c>
      <c r="Q15" s="371">
        <f>P15/U15-1</f>
        <v>0.24076502992869586</v>
      </c>
      <c r="R15" s="372">
        <f>P15/X15-1</f>
        <v>7.3197476256364524E-2</v>
      </c>
      <c r="S15" s="373">
        <f>P15/Y15-1</f>
        <v>-1.0671104576440715E-3</v>
      </c>
      <c r="T15" s="181"/>
      <c r="U15" s="154">
        <v>209665</v>
      </c>
      <c r="V15" s="155">
        <v>195110</v>
      </c>
      <c r="W15" s="155">
        <v>14555</v>
      </c>
      <c r="X15" s="155">
        <v>242401.8</v>
      </c>
      <c r="Y15" s="155">
        <v>260422.9</v>
      </c>
    </row>
    <row r="16" spans="1:26" ht="16.5" thickBot="1">
      <c r="A16" s="451"/>
      <c r="B16" s="238" t="s">
        <v>108</v>
      </c>
      <c r="C16" s="239">
        <v>50</v>
      </c>
      <c r="D16" s="240">
        <v>48</v>
      </c>
      <c r="E16" s="240">
        <v>56</v>
      </c>
      <c r="F16" s="240">
        <v>55</v>
      </c>
      <c r="G16" s="240">
        <v>50</v>
      </c>
      <c r="H16" s="240">
        <v>49</v>
      </c>
      <c r="I16" s="240">
        <v>56</v>
      </c>
      <c r="J16" s="242">
        <v>54</v>
      </c>
      <c r="K16" s="388">
        <v>60</v>
      </c>
      <c r="L16" s="389">
        <v>49</v>
      </c>
      <c r="M16" s="389">
        <v>50</v>
      </c>
      <c r="N16" s="389">
        <v>35</v>
      </c>
      <c r="O16" s="390">
        <v>50</v>
      </c>
      <c r="P16" s="374">
        <f>SUMPRODUCT(C15:O15,C16:O16/SUM(C15:O15))</f>
        <v>54.202925291664265</v>
      </c>
      <c r="Q16" s="375">
        <f>P16-U16</f>
        <v>5.2730609843168281</v>
      </c>
      <c r="R16" s="376">
        <f>P16-X16</f>
        <v>6.5583830481660641</v>
      </c>
      <c r="S16" s="377">
        <f>P16-Y16</f>
        <v>2.7747947393971586</v>
      </c>
      <c r="T16" s="117"/>
      <c r="U16" s="156">
        <v>48.929864307347437</v>
      </c>
      <c r="V16" s="156">
        <v>49.124724514376503</v>
      </c>
      <c r="W16" s="156">
        <v>46.317760219855721</v>
      </c>
      <c r="X16" s="156">
        <v>47.644542243498201</v>
      </c>
      <c r="Y16" s="156">
        <v>51.428130552267106</v>
      </c>
    </row>
    <row r="17" spans="1:26" ht="16">
      <c r="A17" s="453" t="s">
        <v>132</v>
      </c>
      <c r="B17" s="308" t="s">
        <v>2</v>
      </c>
      <c r="C17" s="309">
        <v>0</v>
      </c>
      <c r="D17" s="310">
        <v>175</v>
      </c>
      <c r="E17" s="310">
        <v>500</v>
      </c>
      <c r="F17" s="310">
        <v>320</v>
      </c>
      <c r="G17" s="310">
        <v>50</v>
      </c>
      <c r="H17" s="310">
        <v>0</v>
      </c>
      <c r="I17" s="310">
        <v>0</v>
      </c>
      <c r="J17" s="311">
        <v>60</v>
      </c>
      <c r="K17" s="385">
        <v>170</v>
      </c>
      <c r="L17" s="386">
        <v>65</v>
      </c>
      <c r="M17" s="386">
        <v>255</v>
      </c>
      <c r="N17" s="386">
        <v>20</v>
      </c>
      <c r="O17" s="387">
        <v>20</v>
      </c>
      <c r="P17" s="370">
        <f>SUM(C17:O17)</f>
        <v>1635</v>
      </c>
      <c r="Q17" s="371">
        <f>P17/U17-1</f>
        <v>-0.48503937007874021</v>
      </c>
      <c r="R17" s="372">
        <f>P17/X17-1</f>
        <v>-0.28974804517810604</v>
      </c>
      <c r="S17" s="373">
        <f>P17/Y17-1</f>
        <v>7.6011846001974304E-2</v>
      </c>
      <c r="T17" s="181"/>
      <c r="U17" s="154">
        <v>3175</v>
      </c>
      <c r="V17" s="155">
        <v>2670</v>
      </c>
      <c r="W17" s="155">
        <v>505</v>
      </c>
      <c r="X17" s="155">
        <v>2302</v>
      </c>
      <c r="Y17" s="155">
        <v>1519.5</v>
      </c>
    </row>
    <row r="18" spans="1:26" ht="16.5" thickBot="1">
      <c r="A18" s="451"/>
      <c r="B18" s="238" t="s">
        <v>108</v>
      </c>
      <c r="C18" s="239">
        <v>0</v>
      </c>
      <c r="D18" s="240">
        <v>37</v>
      </c>
      <c r="E18" s="240">
        <v>50</v>
      </c>
      <c r="F18" s="240">
        <v>40</v>
      </c>
      <c r="G18" s="240">
        <v>42</v>
      </c>
      <c r="H18" s="240">
        <v>0</v>
      </c>
      <c r="I18" s="240">
        <v>0</v>
      </c>
      <c r="J18" s="242">
        <v>52</v>
      </c>
      <c r="K18" s="388">
        <v>57</v>
      </c>
      <c r="L18" s="389">
        <v>44</v>
      </c>
      <c r="M18" s="389">
        <v>48</v>
      </c>
      <c r="N18" s="389">
        <v>30</v>
      </c>
      <c r="O18" s="390">
        <v>40</v>
      </c>
      <c r="P18" s="374">
        <f>SUMPRODUCT(C17:O17,C18:O18/SUM(C17:O17))</f>
        <v>46.290519877675841</v>
      </c>
      <c r="Q18" s="375">
        <f>P18-U18</f>
        <v>4.7976064918490664</v>
      </c>
      <c r="R18" s="376">
        <f>P18-X18</f>
        <v>5.3404764371893094</v>
      </c>
      <c r="S18" s="377">
        <f>P18-Y18</f>
        <v>4.0355017796172703</v>
      </c>
      <c r="T18" s="117"/>
      <c r="U18" s="156">
        <v>41.492913385826775</v>
      </c>
      <c r="V18" s="156">
        <v>41.312734082397007</v>
      </c>
      <c r="W18" s="156">
        <v>42.445544554455445</v>
      </c>
      <c r="X18" s="156">
        <v>40.950043440486532</v>
      </c>
      <c r="Y18" s="156">
        <v>42.255018098058571</v>
      </c>
    </row>
    <row r="19" spans="1:26" ht="16">
      <c r="A19" s="453" t="s">
        <v>133</v>
      </c>
      <c r="B19" s="308" t="s">
        <v>2</v>
      </c>
      <c r="C19" s="309">
        <v>1000</v>
      </c>
      <c r="D19" s="310">
        <v>340</v>
      </c>
      <c r="E19" s="310">
        <v>21500</v>
      </c>
      <c r="F19" s="310">
        <v>7880</v>
      </c>
      <c r="G19" s="310">
        <v>160</v>
      </c>
      <c r="H19" s="310">
        <v>0</v>
      </c>
      <c r="I19" s="310">
        <v>4600</v>
      </c>
      <c r="J19" s="311">
        <v>1120</v>
      </c>
      <c r="K19" s="385">
        <v>15360</v>
      </c>
      <c r="L19" s="386">
        <v>6980</v>
      </c>
      <c r="M19" s="386">
        <v>4680</v>
      </c>
      <c r="N19" s="386">
        <v>60</v>
      </c>
      <c r="O19" s="387">
        <v>185</v>
      </c>
      <c r="P19" s="370">
        <f>SUM(C19:O19)</f>
        <v>63865</v>
      </c>
      <c r="Q19" s="371">
        <f>P19/U19-1</f>
        <v>-0.12954886193267001</v>
      </c>
      <c r="R19" s="372">
        <f>P19/X19-1</f>
        <v>-0.23442905537428038</v>
      </c>
      <c r="S19" s="373">
        <f>P19/Y19-1</f>
        <v>-0.39947832235691472</v>
      </c>
      <c r="T19" s="181"/>
      <c r="U19" s="154">
        <v>73370</v>
      </c>
      <c r="V19" s="155">
        <v>43660</v>
      </c>
      <c r="W19" s="155">
        <v>29710</v>
      </c>
      <c r="X19" s="155">
        <v>83421.399999999994</v>
      </c>
      <c r="Y19" s="155">
        <v>106349.2</v>
      </c>
    </row>
    <row r="20" spans="1:26" ht="16.5" thickBot="1">
      <c r="A20" s="451"/>
      <c r="B20" s="238" t="s">
        <v>108</v>
      </c>
      <c r="C20" s="239">
        <v>45</v>
      </c>
      <c r="D20" s="240">
        <v>43</v>
      </c>
      <c r="E20" s="240">
        <v>55</v>
      </c>
      <c r="F20" s="240">
        <v>51</v>
      </c>
      <c r="G20" s="240">
        <v>40</v>
      </c>
      <c r="H20" s="240">
        <v>0</v>
      </c>
      <c r="I20" s="240">
        <v>52</v>
      </c>
      <c r="J20" s="242">
        <v>50</v>
      </c>
      <c r="K20" s="388">
        <v>50</v>
      </c>
      <c r="L20" s="389">
        <v>54</v>
      </c>
      <c r="M20" s="389">
        <v>45</v>
      </c>
      <c r="N20" s="389">
        <v>28</v>
      </c>
      <c r="O20" s="390">
        <v>50</v>
      </c>
      <c r="P20" s="374">
        <f>SUMPRODUCT(C19:O19,C20:O20/SUM(C19:O19))</f>
        <v>51.86017380411807</v>
      </c>
      <c r="Q20" s="375">
        <f>P20-U20</f>
        <v>3.7676973150898547</v>
      </c>
      <c r="R20" s="376">
        <f>P20-X20</f>
        <v>6.9729482241110148</v>
      </c>
      <c r="S20" s="377">
        <f>P20-Y20</f>
        <v>4.9829326024917293</v>
      </c>
      <c r="T20" s="117"/>
      <c r="U20" s="156">
        <v>48.092476489028215</v>
      </c>
      <c r="V20" s="156">
        <v>49.716216216216218</v>
      </c>
      <c r="W20" s="156">
        <v>45.70632783574554</v>
      </c>
      <c r="X20" s="156">
        <v>44.887225580007055</v>
      </c>
      <c r="Y20" s="156">
        <v>46.87724120162634</v>
      </c>
    </row>
    <row r="21" spans="1:26" ht="16">
      <c r="A21" s="453" t="s">
        <v>134</v>
      </c>
      <c r="B21" s="308" t="s">
        <v>2</v>
      </c>
      <c r="C21" s="309">
        <v>60</v>
      </c>
      <c r="D21" s="310">
        <v>60</v>
      </c>
      <c r="E21" s="310">
        <v>700</v>
      </c>
      <c r="F21" s="310">
        <v>120</v>
      </c>
      <c r="G21" s="310">
        <v>0</v>
      </c>
      <c r="H21" s="310">
        <v>0</v>
      </c>
      <c r="I21" s="310">
        <v>300</v>
      </c>
      <c r="J21" s="311">
        <v>0</v>
      </c>
      <c r="K21" s="385">
        <v>445</v>
      </c>
      <c r="L21" s="386">
        <v>170</v>
      </c>
      <c r="M21" s="386">
        <v>85</v>
      </c>
      <c r="N21" s="386">
        <v>0</v>
      </c>
      <c r="O21" s="387">
        <v>0</v>
      </c>
      <c r="P21" s="370">
        <f>SUM(C21:O21)</f>
        <v>1940</v>
      </c>
      <c r="Q21" s="371">
        <f>P21/U21-1</f>
        <v>-0.31083481349911191</v>
      </c>
      <c r="R21" s="372">
        <f>P21/X21-1</f>
        <v>-0.12926391382405744</v>
      </c>
      <c r="S21" s="373">
        <f>P21/Y21-1</f>
        <v>0.57339821573398209</v>
      </c>
      <c r="T21" s="181"/>
      <c r="U21" s="154">
        <v>2815</v>
      </c>
      <c r="V21" s="155">
        <v>2035</v>
      </c>
      <c r="W21" s="155">
        <v>780</v>
      </c>
      <c r="X21" s="155">
        <v>2228</v>
      </c>
      <c r="Y21" s="155">
        <v>1233</v>
      </c>
    </row>
    <row r="22" spans="1:26" ht="16.5" thickBot="1">
      <c r="A22" s="451"/>
      <c r="B22" s="238" t="s">
        <v>108</v>
      </c>
      <c r="C22" s="239">
        <v>36</v>
      </c>
      <c r="D22" s="240">
        <v>35</v>
      </c>
      <c r="E22" s="240">
        <v>43</v>
      </c>
      <c r="F22" s="240">
        <v>45</v>
      </c>
      <c r="G22" s="240">
        <v>0</v>
      </c>
      <c r="H22" s="240">
        <v>0</v>
      </c>
      <c r="I22" s="240">
        <v>39</v>
      </c>
      <c r="J22" s="242">
        <v>0</v>
      </c>
      <c r="K22" s="388">
        <v>45</v>
      </c>
      <c r="L22" s="389">
        <v>48</v>
      </c>
      <c r="M22" s="389">
        <v>43</v>
      </c>
      <c r="N22" s="389">
        <v>0</v>
      </c>
      <c r="O22" s="390">
        <v>0</v>
      </c>
      <c r="P22" s="374">
        <f>SUMPRODUCT(C21:O21,C22:O22/SUM(C21:O21))</f>
        <v>42.938144329896915</v>
      </c>
      <c r="Q22" s="375">
        <f>P22-U22</f>
        <v>7.1359249967962057E-2</v>
      </c>
      <c r="R22" s="376">
        <f>P22-X22</f>
        <v>4.7352717984785997</v>
      </c>
      <c r="S22" s="377">
        <f>P22-Y22</f>
        <v>3.9255733647712034</v>
      </c>
      <c r="T22" s="117"/>
      <c r="U22" s="156">
        <v>42.866785079928952</v>
      </c>
      <c r="V22" s="156">
        <v>44.633906633906633</v>
      </c>
      <c r="W22" s="156">
        <v>38.256410256410255</v>
      </c>
      <c r="X22" s="156">
        <v>38.202872531418315</v>
      </c>
      <c r="Y22" s="156">
        <v>39.012570965125711</v>
      </c>
    </row>
    <row r="23" spans="1:26" ht="16">
      <c r="A23" s="453" t="s">
        <v>95</v>
      </c>
      <c r="B23" s="308" t="s">
        <v>2</v>
      </c>
      <c r="C23" s="309">
        <v>35</v>
      </c>
      <c r="D23" s="310">
        <v>800</v>
      </c>
      <c r="E23" s="310">
        <v>70</v>
      </c>
      <c r="F23" s="310">
        <v>70</v>
      </c>
      <c r="G23" s="310">
        <v>100</v>
      </c>
      <c r="H23" s="310">
        <v>10</v>
      </c>
      <c r="I23" s="310">
        <v>405</v>
      </c>
      <c r="J23" s="311">
        <v>115</v>
      </c>
      <c r="K23" s="385">
        <v>45</v>
      </c>
      <c r="L23" s="386">
        <v>20</v>
      </c>
      <c r="M23" s="386">
        <v>30</v>
      </c>
      <c r="N23" s="386">
        <v>2500</v>
      </c>
      <c r="O23" s="387">
        <v>100</v>
      </c>
      <c r="P23" s="370">
        <f>SUM(C23:O23)</f>
        <v>4300</v>
      </c>
      <c r="Q23" s="371">
        <f>P23/U23-1</f>
        <v>-6.724511930585686E-2</v>
      </c>
      <c r="R23" s="372">
        <f>P23/X23-1</f>
        <v>-0.13924253342941795</v>
      </c>
      <c r="S23" s="373">
        <f>P23/Y23-1</f>
        <v>2.9622373055302464E-3</v>
      </c>
      <c r="T23" s="181"/>
      <c r="U23" s="154">
        <v>4610</v>
      </c>
      <c r="V23" s="155">
        <v>1775</v>
      </c>
      <c r="W23" s="155">
        <v>2835</v>
      </c>
      <c r="X23" s="155">
        <v>4995.6000000000004</v>
      </c>
      <c r="Y23" s="155">
        <v>4287.3</v>
      </c>
    </row>
    <row r="24" spans="1:26" ht="16.5" thickBot="1">
      <c r="A24" s="451"/>
      <c r="B24" s="238" t="s">
        <v>108</v>
      </c>
      <c r="C24" s="239">
        <v>28</v>
      </c>
      <c r="D24" s="240">
        <v>34</v>
      </c>
      <c r="E24" s="240">
        <v>31</v>
      </c>
      <c r="F24" s="240">
        <v>38</v>
      </c>
      <c r="G24" s="240">
        <v>35</v>
      </c>
      <c r="H24" s="240">
        <v>32</v>
      </c>
      <c r="I24" s="240">
        <v>35</v>
      </c>
      <c r="J24" s="242">
        <v>115</v>
      </c>
      <c r="K24" s="388">
        <v>37</v>
      </c>
      <c r="L24" s="389">
        <v>32</v>
      </c>
      <c r="M24" s="389">
        <v>33</v>
      </c>
      <c r="N24" s="389">
        <v>30</v>
      </c>
      <c r="O24" s="390">
        <v>25</v>
      </c>
      <c r="P24" s="374">
        <f>SUMPRODUCT(C23:O23,C24:O24/SUM(C23:O23))</f>
        <v>33.72674418604651</v>
      </c>
      <c r="Q24" s="375">
        <f>P24-U24</f>
        <v>-0.21251828683852381</v>
      </c>
      <c r="R24" s="376">
        <f>P24-X24</f>
        <v>0.62549508683921573</v>
      </c>
      <c r="S24" s="377">
        <f>P24-Y24</f>
        <v>0.18528452612068946</v>
      </c>
      <c r="T24" s="117"/>
      <c r="U24" s="156">
        <v>33.939262472885034</v>
      </c>
      <c r="V24" s="156">
        <v>29.208450704225353</v>
      </c>
      <c r="W24" s="156">
        <v>36.901234567901234</v>
      </c>
      <c r="X24" s="156">
        <v>33.101249099207294</v>
      </c>
      <c r="Y24" s="156">
        <v>33.54145965992582</v>
      </c>
    </row>
    <row r="25" spans="1:26" ht="16" customHeight="1">
      <c r="A25" s="453" t="s">
        <v>96</v>
      </c>
      <c r="B25" s="308" t="s">
        <v>2</v>
      </c>
      <c r="C25" s="309">
        <v>1300</v>
      </c>
      <c r="D25" s="310">
        <v>24680</v>
      </c>
      <c r="E25" s="310">
        <v>7900</v>
      </c>
      <c r="F25" s="310">
        <v>9900</v>
      </c>
      <c r="G25" s="310">
        <v>6300</v>
      </c>
      <c r="H25" s="310">
        <v>1110</v>
      </c>
      <c r="I25" s="310">
        <v>17175</v>
      </c>
      <c r="J25" s="311">
        <v>6640</v>
      </c>
      <c r="K25" s="385">
        <v>3900</v>
      </c>
      <c r="L25" s="386">
        <v>1755</v>
      </c>
      <c r="M25" s="386">
        <v>1930</v>
      </c>
      <c r="N25" s="386">
        <v>2410</v>
      </c>
      <c r="O25" s="387">
        <v>95</v>
      </c>
      <c r="P25" s="370">
        <f>SUM(C25:O25)</f>
        <v>85095</v>
      </c>
      <c r="Q25" s="371">
        <f>P25/U25-1</f>
        <v>1.1049723756906049E-2</v>
      </c>
      <c r="R25" s="372">
        <f>P25/X25-1</f>
        <v>-8.4379741114948836E-2</v>
      </c>
      <c r="S25" s="373">
        <f>P25/Y25-1</f>
        <v>-0.11827789866335092</v>
      </c>
      <c r="T25" s="191"/>
      <c r="U25" s="154">
        <v>84165</v>
      </c>
      <c r="V25" s="155">
        <v>73655</v>
      </c>
      <c r="W25" s="155">
        <v>10510</v>
      </c>
      <c r="X25" s="155">
        <v>92937</v>
      </c>
      <c r="Y25" s="155">
        <v>96510</v>
      </c>
      <c r="Z25" s="176"/>
    </row>
    <row r="26" spans="1:26" ht="16.5" thickBot="1">
      <c r="A26" s="451"/>
      <c r="B26" s="238" t="s">
        <v>108</v>
      </c>
      <c r="C26" s="239">
        <v>45</v>
      </c>
      <c r="D26" s="240">
        <v>51</v>
      </c>
      <c r="E26" s="240">
        <v>48</v>
      </c>
      <c r="F26" s="240">
        <v>47</v>
      </c>
      <c r="G26" s="240">
        <v>55</v>
      </c>
      <c r="H26" s="240">
        <v>48</v>
      </c>
      <c r="I26" s="240">
        <v>53</v>
      </c>
      <c r="J26" s="242">
        <v>56</v>
      </c>
      <c r="K26" s="388">
        <v>60</v>
      </c>
      <c r="L26" s="389">
        <v>41</v>
      </c>
      <c r="M26" s="389">
        <v>50</v>
      </c>
      <c r="N26" s="389">
        <v>35</v>
      </c>
      <c r="O26" s="390">
        <v>32</v>
      </c>
      <c r="P26" s="374">
        <f>SUMPRODUCT(C25:O25,C26:O26/SUM(C25:O25))</f>
        <v>50.924496151360238</v>
      </c>
      <c r="Q26" s="375">
        <f>P26-U26</f>
        <v>6.5398350689625673</v>
      </c>
      <c r="R26" s="376">
        <f>P26-X26</f>
        <v>6.7150962352880583</v>
      </c>
      <c r="S26" s="377">
        <f>P26-Y26</f>
        <v>3.3252162839889792</v>
      </c>
      <c r="T26" s="449"/>
      <c r="U26" s="156">
        <v>44.38466108239767</v>
      </c>
      <c r="V26" s="156">
        <v>44.725476885479601</v>
      </c>
      <c r="W26" s="156">
        <v>41.996194100856329</v>
      </c>
      <c r="X26" s="156">
        <v>44.209399916072179</v>
      </c>
      <c r="Y26" s="156">
        <v>47.599279867371258</v>
      </c>
    </row>
    <row r="27" spans="1:26" ht="16" customHeight="1">
      <c r="A27" s="453" t="s">
        <v>97</v>
      </c>
      <c r="B27" s="308" t="s">
        <v>2</v>
      </c>
      <c r="C27" s="309">
        <v>300</v>
      </c>
      <c r="D27" s="310">
        <v>830</v>
      </c>
      <c r="E27" s="310">
        <v>2900</v>
      </c>
      <c r="F27" s="310">
        <v>2700</v>
      </c>
      <c r="G27" s="310">
        <v>600</v>
      </c>
      <c r="H27" s="310">
        <v>120</v>
      </c>
      <c r="I27" s="310">
        <v>1150</v>
      </c>
      <c r="J27" s="311">
        <v>865</v>
      </c>
      <c r="K27" s="385">
        <v>750</v>
      </c>
      <c r="L27" s="386">
        <v>290</v>
      </c>
      <c r="M27" s="386">
        <v>200</v>
      </c>
      <c r="N27" s="386">
        <v>765</v>
      </c>
      <c r="O27" s="387">
        <v>55</v>
      </c>
      <c r="P27" s="370">
        <f>SUM(C27:O27)</f>
        <v>11525</v>
      </c>
      <c r="Q27" s="371">
        <f>P27/U27-1</f>
        <v>-0.2885802469135802</v>
      </c>
      <c r="R27" s="372">
        <f>P27/X27-1</f>
        <v>-8.8428379340346419E-2</v>
      </c>
      <c r="S27" s="373">
        <f>P27/Y27-1</f>
        <v>0.16126757015466775</v>
      </c>
      <c r="T27" s="449"/>
      <c r="U27" s="154">
        <v>16200</v>
      </c>
      <c r="V27" s="155">
        <v>13805</v>
      </c>
      <c r="W27" s="155">
        <v>2395</v>
      </c>
      <c r="X27" s="155">
        <v>12643</v>
      </c>
      <c r="Y27" s="155">
        <v>9924.5</v>
      </c>
      <c r="Z27" s="192"/>
    </row>
    <row r="28" spans="1:26" ht="16.5" thickBot="1">
      <c r="A28" s="451"/>
      <c r="B28" s="238" t="s">
        <v>108</v>
      </c>
      <c r="C28" s="239">
        <v>38</v>
      </c>
      <c r="D28" s="240">
        <v>33</v>
      </c>
      <c r="E28" s="240">
        <v>38</v>
      </c>
      <c r="F28" s="240">
        <v>34</v>
      </c>
      <c r="G28" s="240">
        <v>38</v>
      </c>
      <c r="H28" s="240">
        <v>40</v>
      </c>
      <c r="I28" s="240">
        <v>35</v>
      </c>
      <c r="J28" s="242">
        <v>34</v>
      </c>
      <c r="K28" s="388">
        <v>53</v>
      </c>
      <c r="L28" s="389">
        <v>37</v>
      </c>
      <c r="M28" s="389">
        <v>45</v>
      </c>
      <c r="N28" s="389">
        <v>30</v>
      </c>
      <c r="O28" s="390">
        <v>24</v>
      </c>
      <c r="P28" s="374">
        <f>SUMPRODUCT(C27:O27,C28:O28/SUM(C27:O27))</f>
        <v>36.598698481561826</v>
      </c>
      <c r="Q28" s="375">
        <f>P28-U28</f>
        <v>2.2332663827963941</v>
      </c>
      <c r="R28" s="376">
        <f>P28-X28</f>
        <v>1.4373443725687096</v>
      </c>
      <c r="S28" s="377">
        <f>P28-Y28</f>
        <v>-0.53072869361072605</v>
      </c>
      <c r="T28" s="117"/>
      <c r="U28" s="156">
        <v>34.365432098765432</v>
      </c>
      <c r="V28" s="156">
        <v>34.356754798985875</v>
      </c>
      <c r="W28" s="156">
        <v>34.415448851774528</v>
      </c>
      <c r="X28" s="156">
        <v>35.161354108993116</v>
      </c>
      <c r="Y28" s="156">
        <v>37.129427175172552</v>
      </c>
      <c r="Z28" s="175"/>
    </row>
    <row r="29" spans="1:26" ht="16">
      <c r="A29" s="453" t="s">
        <v>135</v>
      </c>
      <c r="B29" s="308" t="s">
        <v>2</v>
      </c>
      <c r="C29" s="309">
        <v>210</v>
      </c>
      <c r="D29" s="310">
        <v>850</v>
      </c>
      <c r="E29" s="310">
        <v>510</v>
      </c>
      <c r="F29" s="310">
        <v>1300</v>
      </c>
      <c r="G29" s="310">
        <v>350</v>
      </c>
      <c r="H29" s="310">
        <v>80</v>
      </c>
      <c r="I29" s="310">
        <v>740</v>
      </c>
      <c r="J29" s="311">
        <v>365</v>
      </c>
      <c r="K29" s="385">
        <v>315</v>
      </c>
      <c r="L29" s="386">
        <v>65</v>
      </c>
      <c r="M29" s="386">
        <v>430</v>
      </c>
      <c r="N29" s="386">
        <v>60</v>
      </c>
      <c r="O29" s="387">
        <v>240</v>
      </c>
      <c r="P29" s="370">
        <f>SUM(C29:O29)</f>
        <v>5515</v>
      </c>
      <c r="Q29" s="371">
        <f>P29/U29-1</f>
        <v>0.40688775510204089</v>
      </c>
      <c r="R29" s="372">
        <f>P29/X29-1</f>
        <v>0.14919774953115228</v>
      </c>
      <c r="S29" s="373">
        <f>P29/Y29-1</f>
        <v>8.2539994111296533E-2</v>
      </c>
      <c r="T29" s="181"/>
      <c r="U29" s="154">
        <v>3920</v>
      </c>
      <c r="V29" s="155">
        <v>3215</v>
      </c>
      <c r="W29" s="155">
        <v>705</v>
      </c>
      <c r="X29" s="155">
        <v>4799</v>
      </c>
      <c r="Y29" s="155">
        <v>5094.5</v>
      </c>
    </row>
    <row r="30" spans="1:26" ht="16.5" thickBot="1">
      <c r="A30" s="451"/>
      <c r="B30" s="238" t="s">
        <v>108</v>
      </c>
      <c r="C30" s="239">
        <v>29.5</v>
      </c>
      <c r="D30" s="240">
        <v>26.75</v>
      </c>
      <c r="E30" s="240">
        <v>27.37</v>
      </c>
      <c r="F30" s="240">
        <v>33.229999999999997</v>
      </c>
      <c r="G30" s="240">
        <v>26.68</v>
      </c>
      <c r="H30" s="240">
        <v>30.43</v>
      </c>
      <c r="I30" s="240">
        <v>32.74</v>
      </c>
      <c r="J30" s="242">
        <v>36</v>
      </c>
      <c r="K30" s="388">
        <v>45</v>
      </c>
      <c r="L30" s="389">
        <v>28</v>
      </c>
      <c r="M30" s="389">
        <v>30</v>
      </c>
      <c r="N30" s="389">
        <v>20</v>
      </c>
      <c r="O30" s="390">
        <v>26</v>
      </c>
      <c r="P30" s="374">
        <f>SUMPRODUCT(C29:O29,C30:O30/SUM(C29:O29))</f>
        <v>31.108830462375344</v>
      </c>
      <c r="Q30" s="375">
        <f>P30-U30</f>
        <v>1.4634222991100394</v>
      </c>
      <c r="R30" s="376">
        <f>P30-X30</f>
        <v>0.95504842445077642</v>
      </c>
      <c r="S30" s="377">
        <f>P30-Y30</f>
        <v>-0.39592957295687725</v>
      </c>
      <c r="T30" s="117"/>
      <c r="U30" s="156">
        <v>29.645408163265305</v>
      </c>
      <c r="V30" s="156">
        <v>30.082426127527217</v>
      </c>
      <c r="W30" s="156">
        <v>27.652482269503547</v>
      </c>
      <c r="X30" s="156">
        <v>30.153782037924568</v>
      </c>
      <c r="Y30" s="156">
        <v>31.504760035332222</v>
      </c>
    </row>
    <row r="31" spans="1:26" ht="16">
      <c r="A31" s="453" t="s">
        <v>152</v>
      </c>
      <c r="B31" s="308" t="s">
        <v>2</v>
      </c>
      <c r="C31" s="309">
        <v>30</v>
      </c>
      <c r="D31" s="310">
        <v>720</v>
      </c>
      <c r="E31" s="310">
        <v>250</v>
      </c>
      <c r="F31" s="310">
        <v>550</v>
      </c>
      <c r="G31" s="310">
        <v>300</v>
      </c>
      <c r="H31" s="310">
        <v>0</v>
      </c>
      <c r="I31" s="310">
        <v>350</v>
      </c>
      <c r="J31" s="311">
        <v>360</v>
      </c>
      <c r="K31" s="385">
        <v>60</v>
      </c>
      <c r="L31" s="386">
        <v>30</v>
      </c>
      <c r="M31" s="386">
        <v>50</v>
      </c>
      <c r="N31" s="386">
        <v>1260</v>
      </c>
      <c r="O31" s="387">
        <v>15</v>
      </c>
      <c r="P31" s="370">
        <f>SUM(C31:O31)</f>
        <v>3975</v>
      </c>
      <c r="Q31" s="371">
        <f>P31/U31-1</f>
        <v>-6.5804935370152751E-2</v>
      </c>
      <c r="R31" s="372">
        <f>P31/X31-1</f>
        <v>-0.10914388166741373</v>
      </c>
      <c r="S31" s="373">
        <f>P31/Y31-1</f>
        <v>-5.9171597633136064E-2</v>
      </c>
      <c r="T31" s="181"/>
      <c r="U31" s="154">
        <v>4255</v>
      </c>
      <c r="V31" s="155">
        <v>2550</v>
      </c>
      <c r="W31" s="155">
        <v>1705</v>
      </c>
      <c r="X31" s="155">
        <v>4462</v>
      </c>
      <c r="Y31" s="155">
        <v>4225</v>
      </c>
    </row>
    <row r="32" spans="1:26" ht="16.5" thickBot="1">
      <c r="A32" s="451"/>
      <c r="B32" s="238" t="s">
        <v>108</v>
      </c>
      <c r="C32" s="239">
        <v>25.83</v>
      </c>
      <c r="D32" s="240">
        <v>21.73</v>
      </c>
      <c r="E32" s="240">
        <v>23.74</v>
      </c>
      <c r="F32" s="240">
        <v>27.86</v>
      </c>
      <c r="G32" s="240">
        <v>22.84</v>
      </c>
      <c r="H32" s="240">
        <v>0</v>
      </c>
      <c r="I32" s="240">
        <v>28.55</v>
      </c>
      <c r="J32" s="242">
        <v>30</v>
      </c>
      <c r="K32" s="388">
        <v>40</v>
      </c>
      <c r="L32" s="389">
        <v>26</v>
      </c>
      <c r="M32" s="389">
        <v>27</v>
      </c>
      <c r="N32" s="389">
        <v>32</v>
      </c>
      <c r="O32" s="390">
        <v>19</v>
      </c>
      <c r="P32" s="374">
        <f>SUMPRODUCT(C31:O31,C32:O32/SUM(C31:O31))</f>
        <v>27.788176100628931</v>
      </c>
      <c r="Q32" s="375">
        <f>P32-U32</f>
        <v>-0.82874516846625212</v>
      </c>
      <c r="R32" s="376">
        <f>P32-X32</f>
        <v>-0.37856527095332027</v>
      </c>
      <c r="S32" s="377">
        <f>P32-Y32</f>
        <v>-1.2823091064716614</v>
      </c>
      <c r="T32" s="117"/>
      <c r="U32" s="156">
        <v>28.616921269095183</v>
      </c>
      <c r="V32" s="156">
        <v>25.609803921568627</v>
      </c>
      <c r="W32" s="156">
        <v>33.114369501466278</v>
      </c>
      <c r="X32" s="156">
        <v>28.166741371582251</v>
      </c>
      <c r="Y32" s="156">
        <v>29.070485207100592</v>
      </c>
    </row>
    <row r="33" spans="1:27" ht="16">
      <c r="A33" s="453" t="s">
        <v>98</v>
      </c>
      <c r="B33" s="308" t="s">
        <v>2</v>
      </c>
      <c r="C33" s="309">
        <v>700</v>
      </c>
      <c r="D33" s="310">
        <v>9570</v>
      </c>
      <c r="E33" s="310">
        <v>2120</v>
      </c>
      <c r="F33" s="310">
        <v>4200</v>
      </c>
      <c r="G33" s="310">
        <v>2060</v>
      </c>
      <c r="H33" s="310">
        <v>1990</v>
      </c>
      <c r="I33" s="310">
        <v>6410</v>
      </c>
      <c r="J33" s="311">
        <v>2030</v>
      </c>
      <c r="K33" s="385">
        <v>660</v>
      </c>
      <c r="L33" s="386">
        <v>155</v>
      </c>
      <c r="M33" s="386">
        <v>280</v>
      </c>
      <c r="N33" s="386">
        <v>4145</v>
      </c>
      <c r="O33" s="387">
        <v>155</v>
      </c>
      <c r="P33" s="370">
        <f>SUM(C33:O33)</f>
        <v>34475</v>
      </c>
      <c r="Q33" s="371">
        <f>P33/U33-1</f>
        <v>0.18736008265885995</v>
      </c>
      <c r="R33" s="372">
        <f>P33/X33-1</f>
        <v>8.309770656613269E-2</v>
      </c>
      <c r="S33" s="373">
        <f>P33/Y33-1</f>
        <v>-2.94610306434131E-2</v>
      </c>
      <c r="T33" s="181"/>
      <c r="U33" s="154">
        <v>29035</v>
      </c>
      <c r="V33" s="155">
        <v>24140</v>
      </c>
      <c r="W33" s="155">
        <v>4895</v>
      </c>
      <c r="X33" s="155">
        <v>31830</v>
      </c>
      <c r="Y33" s="155">
        <v>35521.5</v>
      </c>
    </row>
    <row r="34" spans="1:27" ht="16.5" thickBot="1">
      <c r="A34" s="454"/>
      <c r="B34" s="243" t="s">
        <v>108</v>
      </c>
      <c r="C34" s="239">
        <v>40</v>
      </c>
      <c r="D34" s="240">
        <v>43</v>
      </c>
      <c r="E34" s="240">
        <v>37</v>
      </c>
      <c r="F34" s="240">
        <v>35</v>
      </c>
      <c r="G34" s="240">
        <v>39</v>
      </c>
      <c r="H34" s="240">
        <v>42</v>
      </c>
      <c r="I34" s="240">
        <v>42</v>
      </c>
      <c r="J34" s="242">
        <v>39</v>
      </c>
      <c r="K34" s="388">
        <v>40</v>
      </c>
      <c r="L34" s="389">
        <v>35</v>
      </c>
      <c r="M34" s="389">
        <v>33</v>
      </c>
      <c r="N34" s="389">
        <v>33</v>
      </c>
      <c r="O34" s="390">
        <v>35</v>
      </c>
      <c r="P34" s="374">
        <f>SUMPRODUCT(C33:O33,C34:O34/SUM(C33:O33))</f>
        <v>39.464394488759979</v>
      </c>
      <c r="Q34" s="375">
        <f>P34-U34</f>
        <v>-0.91239214805765556</v>
      </c>
      <c r="R34" s="376">
        <f>P34-X34</f>
        <v>5.9763637361932354E-2</v>
      </c>
      <c r="S34" s="377">
        <f>P34-Y34</f>
        <v>-1.1513790568391613</v>
      </c>
      <c r="U34" s="156">
        <v>40.376786636817634</v>
      </c>
      <c r="V34" s="156">
        <v>40.183719966859982</v>
      </c>
      <c r="W34" s="156">
        <v>41.328907048008169</v>
      </c>
      <c r="X34" s="156">
        <v>39.404630851398046</v>
      </c>
      <c r="Y34" s="156">
        <v>40.61577354559914</v>
      </c>
    </row>
    <row r="35" spans="1:27" ht="16.5" thickBot="1">
      <c r="A35" s="208" t="s">
        <v>109</v>
      </c>
      <c r="B35" s="225" t="s">
        <v>2</v>
      </c>
      <c r="C35" s="228">
        <f>SUM(C15,C17,C33,C31,C27,C25,C23,C19,C21,C29)</f>
        <v>10235</v>
      </c>
      <c r="D35" s="222">
        <f t="shared" ref="D35:E35" si="0">SUM(D15,D17,D33,D31,D27,D25,D23,D19,D21)</f>
        <v>57050</v>
      </c>
      <c r="E35" s="222">
        <f t="shared" si="0"/>
        <v>82940</v>
      </c>
      <c r="F35" s="222">
        <f t="shared" ref="F35:P35" si="1">SUM(F15,F17,F33,F31,F27,F25,F23,F19,F21,F29)</f>
        <v>108490</v>
      </c>
      <c r="G35" s="222">
        <f t="shared" si="1"/>
        <v>18500</v>
      </c>
      <c r="H35" s="222">
        <f t="shared" si="1"/>
        <v>6760</v>
      </c>
      <c r="I35" s="222">
        <f t="shared" si="1"/>
        <v>73410</v>
      </c>
      <c r="J35" s="229">
        <f t="shared" si="1"/>
        <v>45605</v>
      </c>
      <c r="K35" s="391">
        <f t="shared" si="1"/>
        <v>31125</v>
      </c>
      <c r="L35" s="392">
        <f t="shared" si="1"/>
        <v>11340</v>
      </c>
      <c r="M35" s="392">
        <f t="shared" si="1"/>
        <v>10940</v>
      </c>
      <c r="N35" s="392">
        <f t="shared" si="1"/>
        <v>13550</v>
      </c>
      <c r="O35" s="393">
        <f t="shared" si="1"/>
        <v>1165</v>
      </c>
      <c r="P35" s="363">
        <f t="shared" si="1"/>
        <v>472470</v>
      </c>
      <c r="Q35" s="364">
        <f>P35/U35-1</f>
        <v>9.5684237378539372E-2</v>
      </c>
      <c r="R35" s="364">
        <f>P35/X35-1</f>
        <v>-1.98120492145758E-2</v>
      </c>
      <c r="S35" s="365">
        <f>P35/Y35-1</f>
        <v>-0.10020693697849159</v>
      </c>
      <c r="U35" s="205">
        <f>SUM(U33,U31,U27,U25,U23,U19,U21,U15,U17,U29)</f>
        <v>431210</v>
      </c>
      <c r="V35" s="206">
        <f>SUM(V33,V31,V27,V25,V23,V19,V21,V15,V17,V29)</f>
        <v>362615</v>
      </c>
      <c r="W35" s="206">
        <f>SUM(W33,W31,W27,W25,W23,W19,W21,W15,W17,W29)</f>
        <v>68595</v>
      </c>
      <c r="X35" s="206">
        <f>SUM(X33,X31,X27,X25,X23,X19,X21,X15,X17,X29)</f>
        <v>482019.8</v>
      </c>
      <c r="Y35" s="206">
        <f>SUM(Y33,Y31,Y27,Y25,Y23,Y19,Y21,Y15,Y17,Y29)</f>
        <v>525087.4</v>
      </c>
    </row>
    <row r="36" spans="1:27" ht="16">
      <c r="A36" s="450" t="s">
        <v>99</v>
      </c>
      <c r="B36" s="312" t="s">
        <v>2</v>
      </c>
      <c r="C36" s="305">
        <v>3554</v>
      </c>
      <c r="D36" s="306">
        <v>550</v>
      </c>
      <c r="E36" s="306">
        <v>15457</v>
      </c>
      <c r="F36" s="306">
        <v>32570</v>
      </c>
      <c r="G36" s="306">
        <v>1380</v>
      </c>
      <c r="H36" s="306">
        <v>16100</v>
      </c>
      <c r="I36" s="306">
        <v>6080</v>
      </c>
      <c r="J36" s="307">
        <v>14060</v>
      </c>
      <c r="K36" s="394">
        <v>645</v>
      </c>
      <c r="L36" s="395">
        <v>275</v>
      </c>
      <c r="M36" s="395">
        <v>30</v>
      </c>
      <c r="N36" s="395">
        <v>5</v>
      </c>
      <c r="O36" s="396">
        <v>2</v>
      </c>
      <c r="P36" s="370">
        <f>SUM(C36:O36)</f>
        <v>90708</v>
      </c>
      <c r="Q36" s="356">
        <f>P36/U36-1</f>
        <v>9.9610866639997075E-2</v>
      </c>
      <c r="R36" s="357">
        <f>P36/X36-1</f>
        <v>0.20703558511445208</v>
      </c>
      <c r="S36" s="358">
        <f>P36/Y36-1</f>
        <v>0.10510214897217507</v>
      </c>
      <c r="T36" s="191"/>
      <c r="U36" s="154">
        <v>82491</v>
      </c>
      <c r="V36" s="155">
        <v>81956</v>
      </c>
      <c r="W36" s="155">
        <v>535</v>
      </c>
      <c r="X36" s="155">
        <v>75149.399999999994</v>
      </c>
      <c r="Y36" s="155">
        <v>82081.100000000006</v>
      </c>
    </row>
    <row r="37" spans="1:27" ht="16.5" thickBot="1">
      <c r="A37" s="451"/>
      <c r="B37" s="238" t="s">
        <v>108</v>
      </c>
      <c r="C37" s="226">
        <v>0</v>
      </c>
      <c r="D37" s="221">
        <v>0</v>
      </c>
      <c r="E37" s="221">
        <v>0</v>
      </c>
      <c r="F37" s="221">
        <v>0</v>
      </c>
      <c r="G37" s="221">
        <v>0</v>
      </c>
      <c r="H37" s="221">
        <v>0</v>
      </c>
      <c r="I37" s="221">
        <v>0</v>
      </c>
      <c r="J37" s="227">
        <v>0</v>
      </c>
      <c r="K37" s="232">
        <v>0</v>
      </c>
      <c r="L37" s="224">
        <v>0</v>
      </c>
      <c r="M37" s="224">
        <v>0</v>
      </c>
      <c r="N37" s="224">
        <v>0</v>
      </c>
      <c r="O37" s="233">
        <v>0</v>
      </c>
      <c r="P37" s="359"/>
      <c r="Q37" s="360"/>
      <c r="R37" s="361"/>
      <c r="S37" s="362"/>
      <c r="T37" s="192"/>
      <c r="U37" s="156">
        <v>109.87499690875367</v>
      </c>
      <c r="V37" s="156">
        <v>110.0803891112304</v>
      </c>
      <c r="W37" s="156">
        <v>78.411214953271028</v>
      </c>
      <c r="X37" s="156">
        <v>105.25689892401004</v>
      </c>
      <c r="Y37" s="156">
        <v>104.62207986978731</v>
      </c>
      <c r="Z37" s="192"/>
      <c r="AA37" s="175"/>
    </row>
    <row r="38" spans="1:27" ht="16">
      <c r="A38" s="453" t="s">
        <v>100</v>
      </c>
      <c r="B38" s="308" t="s">
        <v>2</v>
      </c>
      <c r="C38" s="309">
        <v>1576</v>
      </c>
      <c r="D38" s="310">
        <v>655</v>
      </c>
      <c r="E38" s="310">
        <v>13563</v>
      </c>
      <c r="F38" s="310">
        <v>13000</v>
      </c>
      <c r="G38" s="310">
        <v>960</v>
      </c>
      <c r="H38" s="310">
        <v>12760</v>
      </c>
      <c r="I38" s="310">
        <v>4700</v>
      </c>
      <c r="J38" s="311">
        <v>4710</v>
      </c>
      <c r="K38" s="385">
        <v>505</v>
      </c>
      <c r="L38" s="386">
        <v>105</v>
      </c>
      <c r="M38" s="386">
        <v>25</v>
      </c>
      <c r="N38" s="386">
        <v>0</v>
      </c>
      <c r="O38" s="387">
        <v>0</v>
      </c>
      <c r="P38" s="370">
        <f>SUM(C38:O38)</f>
        <v>52559</v>
      </c>
      <c r="Q38" s="371">
        <f>P38/U38-1</f>
        <v>5.9571808725102704E-2</v>
      </c>
      <c r="R38" s="372">
        <f>P38/X38-1</f>
        <v>0.11667049095343729</v>
      </c>
      <c r="S38" s="373">
        <f>P38/Y38-1</f>
        <v>0.12003528945450515</v>
      </c>
      <c r="T38" s="181"/>
      <c r="U38" s="154">
        <v>49604</v>
      </c>
      <c r="V38" s="155">
        <v>49074</v>
      </c>
      <c r="W38" s="155">
        <v>530</v>
      </c>
      <c r="X38" s="155">
        <v>47067.6</v>
      </c>
      <c r="Y38" s="155">
        <v>46926.2</v>
      </c>
      <c r="AA38" s="175"/>
    </row>
    <row r="39" spans="1:27" ht="16.5" thickBot="1">
      <c r="A39" s="451"/>
      <c r="B39" s="238" t="s">
        <v>108</v>
      </c>
      <c r="C39" s="226">
        <v>0</v>
      </c>
      <c r="D39" s="221">
        <v>0</v>
      </c>
      <c r="E39" s="221">
        <v>0</v>
      </c>
      <c r="F39" s="221">
        <v>0</v>
      </c>
      <c r="G39" s="221">
        <v>0</v>
      </c>
      <c r="H39" s="221">
        <v>0</v>
      </c>
      <c r="I39" s="221">
        <v>0</v>
      </c>
      <c r="J39" s="227">
        <v>0</v>
      </c>
      <c r="K39" s="232">
        <v>0</v>
      </c>
      <c r="L39" s="224">
        <v>0</v>
      </c>
      <c r="M39" s="224">
        <v>0</v>
      </c>
      <c r="N39" s="224">
        <v>0</v>
      </c>
      <c r="O39" s="233">
        <v>0</v>
      </c>
      <c r="P39" s="359"/>
      <c r="Q39" s="360"/>
      <c r="R39" s="361"/>
      <c r="S39" s="362"/>
      <c r="T39" s="181"/>
      <c r="U39" s="156">
        <v>83.279594387549395</v>
      </c>
      <c r="V39" s="156">
        <v>83.618840934099524</v>
      </c>
      <c r="W39" s="156">
        <v>51.867924528301884</v>
      </c>
      <c r="X39" s="156">
        <v>76.380338066950515</v>
      </c>
      <c r="Y39" s="156">
        <v>73.449392876474121</v>
      </c>
    </row>
    <row r="40" spans="1:27" ht="16">
      <c r="A40" s="453" t="s">
        <v>101</v>
      </c>
      <c r="B40" s="308" t="s">
        <v>2</v>
      </c>
      <c r="C40" s="309">
        <v>2035</v>
      </c>
      <c r="D40" s="310">
        <v>320</v>
      </c>
      <c r="E40" s="310">
        <v>1120</v>
      </c>
      <c r="F40" s="310">
        <v>4430</v>
      </c>
      <c r="G40" s="310">
        <v>660</v>
      </c>
      <c r="H40" s="310">
        <v>140</v>
      </c>
      <c r="I40" s="310">
        <v>1270</v>
      </c>
      <c r="J40" s="311">
        <v>2630</v>
      </c>
      <c r="K40" s="385">
        <v>1100</v>
      </c>
      <c r="L40" s="386">
        <v>30</v>
      </c>
      <c r="M40" s="386">
        <v>355</v>
      </c>
      <c r="N40" s="386">
        <v>0</v>
      </c>
      <c r="O40" s="387">
        <v>7</v>
      </c>
      <c r="P40" s="370">
        <f>SUM(C40:O40)</f>
        <v>14097</v>
      </c>
      <c r="Q40" s="371">
        <f>P40/U40-1</f>
        <v>-0.20647340275823245</v>
      </c>
      <c r="R40" s="372">
        <f>P40/X40-1</f>
        <v>-0.39203526083356333</v>
      </c>
      <c r="S40" s="373">
        <f>P40/Y40-1</f>
        <v>-0.32459754695285548</v>
      </c>
      <c r="T40" s="181"/>
      <c r="U40" s="154">
        <v>17765</v>
      </c>
      <c r="V40" s="155">
        <v>15810</v>
      </c>
      <c r="W40" s="155">
        <v>1955</v>
      </c>
      <c r="X40" s="155">
        <v>23187.200000000001</v>
      </c>
      <c r="Y40" s="155">
        <v>20872</v>
      </c>
    </row>
    <row r="41" spans="1:27" ht="16.5" thickBot="1">
      <c r="A41" s="454"/>
      <c r="B41" s="238" t="s">
        <v>108</v>
      </c>
      <c r="C41" s="226">
        <v>0</v>
      </c>
      <c r="D41" s="221">
        <v>0</v>
      </c>
      <c r="E41" s="221">
        <v>0</v>
      </c>
      <c r="F41" s="221">
        <v>0</v>
      </c>
      <c r="G41" s="221">
        <v>0</v>
      </c>
      <c r="H41" s="221">
        <v>0</v>
      </c>
      <c r="I41" s="221">
        <v>0</v>
      </c>
      <c r="J41" s="227">
        <v>0</v>
      </c>
      <c r="K41" s="232">
        <v>0</v>
      </c>
      <c r="L41" s="224">
        <v>0</v>
      </c>
      <c r="M41" s="224">
        <v>0</v>
      </c>
      <c r="N41" s="224">
        <v>0</v>
      </c>
      <c r="O41" s="233">
        <v>0</v>
      </c>
      <c r="P41" s="359"/>
      <c r="Q41" s="360"/>
      <c r="R41" s="361"/>
      <c r="S41" s="362"/>
      <c r="U41" s="156">
        <v>34.585139318885446</v>
      </c>
      <c r="V41" s="156">
        <v>35.278937381404177</v>
      </c>
      <c r="W41" s="156">
        <v>28.974424552429667</v>
      </c>
      <c r="X41" s="156">
        <v>32.17839152635937</v>
      </c>
      <c r="Y41" s="156">
        <v>32.700421617477964</v>
      </c>
    </row>
    <row r="42" spans="1:27" ht="16.5" thickBot="1">
      <c r="A42" s="208" t="s">
        <v>110</v>
      </c>
      <c r="B42" s="225" t="s">
        <v>2</v>
      </c>
      <c r="C42" s="230">
        <f>C36+C38+C40</f>
        <v>7165</v>
      </c>
      <c r="D42" s="223">
        <f t="shared" ref="D42:O42" si="2">D36+D38+D40</f>
        <v>1525</v>
      </c>
      <c r="E42" s="223">
        <f t="shared" si="2"/>
        <v>30140</v>
      </c>
      <c r="F42" s="223">
        <f t="shared" si="2"/>
        <v>50000</v>
      </c>
      <c r="G42" s="223">
        <f t="shared" si="2"/>
        <v>3000</v>
      </c>
      <c r="H42" s="223">
        <f t="shared" si="2"/>
        <v>29000</v>
      </c>
      <c r="I42" s="223">
        <f t="shared" si="2"/>
        <v>12050</v>
      </c>
      <c r="J42" s="231">
        <f t="shared" si="2"/>
        <v>21400</v>
      </c>
      <c r="K42" s="397">
        <f t="shared" si="2"/>
        <v>2250</v>
      </c>
      <c r="L42" s="398">
        <f t="shared" si="2"/>
        <v>410</v>
      </c>
      <c r="M42" s="398">
        <f>M36+M38+M40</f>
        <v>410</v>
      </c>
      <c r="N42" s="398">
        <f t="shared" si="2"/>
        <v>5</v>
      </c>
      <c r="O42" s="399">
        <f t="shared" si="2"/>
        <v>9</v>
      </c>
      <c r="P42" s="366">
        <f>SUM(C42:O42)</f>
        <v>157364</v>
      </c>
      <c r="Q42" s="367">
        <f>P42/U42-1</f>
        <v>5.0073401841719045E-2</v>
      </c>
      <c r="R42" s="367">
        <f>P42/X42-1</f>
        <v>8.2252094506210849E-2</v>
      </c>
      <c r="S42" s="368">
        <f>P42/Y42-1</f>
        <v>4.9938183591730301E-2</v>
      </c>
      <c r="U42" s="206">
        <f>U40+U38+U36</f>
        <v>149860</v>
      </c>
      <c r="V42" s="206">
        <f>V40+V38+V36</f>
        <v>146840</v>
      </c>
      <c r="W42" s="206">
        <f>W40+W38+W36</f>
        <v>3020</v>
      </c>
      <c r="X42" s="206">
        <f>X40+X38+X36</f>
        <v>145404.20000000001</v>
      </c>
      <c r="Y42" s="206">
        <f>Y40+Y38+Y36</f>
        <v>149879.29999999999</v>
      </c>
    </row>
    <row r="43" spans="1:27" ht="16">
      <c r="A43" s="450" t="s">
        <v>102</v>
      </c>
      <c r="B43" s="312" t="s">
        <v>2</v>
      </c>
      <c r="C43" s="305">
        <v>600</v>
      </c>
      <c r="D43" s="306">
        <v>90</v>
      </c>
      <c r="E43" s="306">
        <v>5400</v>
      </c>
      <c r="F43" s="306">
        <v>3600</v>
      </c>
      <c r="G43" s="306">
        <v>900</v>
      </c>
      <c r="H43" s="306">
        <v>290</v>
      </c>
      <c r="I43" s="306">
        <v>3570</v>
      </c>
      <c r="J43" s="307">
        <v>3615</v>
      </c>
      <c r="K43" s="394">
        <v>1510</v>
      </c>
      <c r="L43" s="395">
        <v>465</v>
      </c>
      <c r="M43" s="395">
        <v>385</v>
      </c>
      <c r="N43" s="395">
        <v>5</v>
      </c>
      <c r="O43" s="396">
        <v>10</v>
      </c>
      <c r="P43" s="370">
        <f>SUM(C43:O43)</f>
        <v>20440</v>
      </c>
      <c r="Q43" s="356">
        <f>P43/U43-1</f>
        <v>-0.46977950713359273</v>
      </c>
      <c r="R43" s="357">
        <f>P43/X43-1</f>
        <v>-0.20356602920777422</v>
      </c>
      <c r="S43" s="358">
        <f>P43/Y43-1</f>
        <v>-9.9464260538559057E-2</v>
      </c>
      <c r="U43" s="154">
        <v>38550</v>
      </c>
      <c r="V43" s="155">
        <v>36410</v>
      </c>
      <c r="W43" s="155">
        <v>2140</v>
      </c>
      <c r="X43" s="155">
        <v>25664.400000000001</v>
      </c>
      <c r="Y43" s="155">
        <v>22697.599999999999</v>
      </c>
    </row>
    <row r="44" spans="1:27" ht="16.5" thickBot="1">
      <c r="A44" s="454"/>
      <c r="B44" s="243" t="s">
        <v>108</v>
      </c>
      <c r="C44" s="226">
        <v>0</v>
      </c>
      <c r="D44" s="221">
        <v>0</v>
      </c>
      <c r="E44" s="221">
        <v>0</v>
      </c>
      <c r="F44" s="221">
        <v>0</v>
      </c>
      <c r="G44" s="221">
        <v>0</v>
      </c>
      <c r="H44" s="221">
        <v>0</v>
      </c>
      <c r="I44" s="221">
        <v>0</v>
      </c>
      <c r="J44" s="227">
        <v>0</v>
      </c>
      <c r="K44" s="232">
        <v>0</v>
      </c>
      <c r="L44" s="224">
        <v>0</v>
      </c>
      <c r="M44" s="224">
        <v>0</v>
      </c>
      <c r="N44" s="224">
        <v>0</v>
      </c>
      <c r="O44" s="233">
        <v>0</v>
      </c>
      <c r="P44" s="359"/>
      <c r="Q44" s="360"/>
      <c r="R44" s="361"/>
      <c r="S44" s="362"/>
      <c r="T44" s="175"/>
      <c r="U44" s="156">
        <v>42.29260700389105</v>
      </c>
      <c r="V44" s="156">
        <v>41.803076078000551</v>
      </c>
      <c r="W44" s="156">
        <v>50.621495327102807</v>
      </c>
      <c r="X44" s="156">
        <v>47.542393354218291</v>
      </c>
      <c r="Y44" s="156">
        <v>49.970864761032004</v>
      </c>
      <c r="Z44" s="175"/>
    </row>
    <row r="45" spans="1:27" ht="16.5" thickBot="1">
      <c r="A45" s="208" t="s">
        <v>147</v>
      </c>
      <c r="B45" s="225" t="s">
        <v>2</v>
      </c>
      <c r="C45" s="230">
        <f>C42+C35+C43</f>
        <v>18000</v>
      </c>
      <c r="D45" s="223">
        <f t="shared" ref="D45:N45" si="3">D42+D35+D43</f>
        <v>58665</v>
      </c>
      <c r="E45" s="223">
        <f t="shared" si="3"/>
        <v>118480</v>
      </c>
      <c r="F45" s="223">
        <f t="shared" si="3"/>
        <v>162090</v>
      </c>
      <c r="G45" s="223">
        <f t="shared" si="3"/>
        <v>22400</v>
      </c>
      <c r="H45" s="223">
        <f t="shared" si="3"/>
        <v>36050</v>
      </c>
      <c r="I45" s="223">
        <f t="shared" si="3"/>
        <v>89030</v>
      </c>
      <c r="J45" s="231">
        <f t="shared" si="3"/>
        <v>70620</v>
      </c>
      <c r="K45" s="397">
        <f t="shared" si="3"/>
        <v>34885</v>
      </c>
      <c r="L45" s="398">
        <f t="shared" si="3"/>
        <v>12215</v>
      </c>
      <c r="M45" s="398">
        <f t="shared" si="3"/>
        <v>11735</v>
      </c>
      <c r="N45" s="398">
        <f t="shared" si="3"/>
        <v>13560</v>
      </c>
      <c r="O45" s="399">
        <f>O42+O35+O43</f>
        <v>1184</v>
      </c>
      <c r="P45" s="366">
        <f>SUM(C45:O45)</f>
        <v>648914</v>
      </c>
      <c r="Q45" s="367">
        <f>P45/U45-1</f>
        <v>4.7277363545398687E-2</v>
      </c>
      <c r="R45" s="367">
        <f>P45/X45-1</f>
        <v>-6.3917840218874478E-3</v>
      </c>
      <c r="S45" s="368">
        <f>P45/Y45-1</f>
        <v>-6.9876443441351244E-2</v>
      </c>
      <c r="U45" s="437">
        <f>U42+U35+U43</f>
        <v>619620</v>
      </c>
      <c r="V45" s="206">
        <f>V42+V35+V43</f>
        <v>545865</v>
      </c>
      <c r="W45" s="206">
        <f>W42+W35+W43</f>
        <v>73755</v>
      </c>
      <c r="X45" s="206">
        <f>X42+X35+X43</f>
        <v>653088.4</v>
      </c>
      <c r="Y45" s="206">
        <f>Y42+Y35+Y43</f>
        <v>697664.29999999993</v>
      </c>
    </row>
    <row r="46" spans="1:27" ht="16">
      <c r="A46" s="450" t="s">
        <v>136</v>
      </c>
      <c r="B46" s="312" t="s">
        <v>2</v>
      </c>
      <c r="C46" s="305">
        <v>0</v>
      </c>
      <c r="D46" s="306">
        <v>0</v>
      </c>
      <c r="E46" s="306">
        <v>0</v>
      </c>
      <c r="F46" s="306">
        <v>0</v>
      </c>
      <c r="G46" s="306">
        <v>0</v>
      </c>
      <c r="H46" s="306">
        <v>0</v>
      </c>
      <c r="I46" s="306">
        <v>0</v>
      </c>
      <c r="J46" s="307">
        <v>0</v>
      </c>
      <c r="K46" s="394">
        <v>150</v>
      </c>
      <c r="L46" s="395">
        <v>2840</v>
      </c>
      <c r="M46" s="395">
        <v>0</v>
      </c>
      <c r="N46" s="395">
        <v>0</v>
      </c>
      <c r="O46" s="396">
        <v>0</v>
      </c>
      <c r="P46" s="355">
        <f>SUM(C46:O46)</f>
        <v>2990</v>
      </c>
      <c r="Q46" s="356">
        <f>P46/U46-1</f>
        <v>0.43062200956937802</v>
      </c>
      <c r="R46" s="357">
        <f>P46/X46-1</f>
        <v>0.35232926277702403</v>
      </c>
      <c r="S46" s="358">
        <f>P46/Y46-1</f>
        <v>0.11922141119221408</v>
      </c>
      <c r="U46" s="154">
        <v>2090</v>
      </c>
      <c r="V46" s="155">
        <v>0</v>
      </c>
      <c r="W46" s="155">
        <v>2090</v>
      </c>
      <c r="X46" s="155">
        <v>2211</v>
      </c>
      <c r="Y46" s="155">
        <v>2671.5</v>
      </c>
      <c r="Z46" s="99"/>
    </row>
    <row r="47" spans="1:27" ht="16.5" thickBot="1">
      <c r="A47" s="451"/>
      <c r="B47" s="238" t="s">
        <v>108</v>
      </c>
      <c r="C47" s="226">
        <v>0</v>
      </c>
      <c r="D47" s="221">
        <v>0</v>
      </c>
      <c r="E47" s="221">
        <v>0</v>
      </c>
      <c r="F47" s="221">
        <v>0</v>
      </c>
      <c r="G47" s="221">
        <v>0</v>
      </c>
      <c r="H47" s="221">
        <v>0</v>
      </c>
      <c r="I47" s="221">
        <v>0</v>
      </c>
      <c r="J47" s="227">
        <v>0</v>
      </c>
      <c r="K47" s="232">
        <v>0</v>
      </c>
      <c r="L47" s="224">
        <v>0</v>
      </c>
      <c r="M47" s="224">
        <v>0</v>
      </c>
      <c r="N47" s="224">
        <v>0</v>
      </c>
      <c r="O47" s="233">
        <v>0</v>
      </c>
      <c r="P47" s="359"/>
      <c r="Q47" s="360"/>
      <c r="R47" s="361"/>
      <c r="S47" s="362"/>
      <c r="U47" s="156">
        <v>50</v>
      </c>
      <c r="V47" s="156"/>
      <c r="W47" s="156">
        <v>50</v>
      </c>
      <c r="X47" s="156">
        <v>58.48665762098598</v>
      </c>
      <c r="Y47" s="156">
        <v>56.484372075612953</v>
      </c>
      <c r="Z47" s="99"/>
    </row>
    <row r="48" spans="1:27" ht="16">
      <c r="A48" s="453" t="s">
        <v>162</v>
      </c>
      <c r="B48" s="308" t="s">
        <v>2</v>
      </c>
      <c r="C48" s="309">
        <v>1600</v>
      </c>
      <c r="D48" s="310">
        <v>2180</v>
      </c>
      <c r="E48" s="310">
        <v>11170</v>
      </c>
      <c r="F48" s="310">
        <v>8000</v>
      </c>
      <c r="G48" s="310">
        <v>510</v>
      </c>
      <c r="H48" s="310">
        <v>900</v>
      </c>
      <c r="I48" s="310">
        <v>7720</v>
      </c>
      <c r="J48" s="311">
        <v>3000</v>
      </c>
      <c r="K48" s="385">
        <v>2200</v>
      </c>
      <c r="L48" s="386">
        <v>840</v>
      </c>
      <c r="M48" s="386">
        <v>590</v>
      </c>
      <c r="N48" s="386">
        <v>35</v>
      </c>
      <c r="O48" s="387">
        <v>0</v>
      </c>
      <c r="P48" s="370">
        <f>SUM(C48:O48)</f>
        <v>38745</v>
      </c>
      <c r="Q48" s="371">
        <f>P48/U48-1</f>
        <v>8.8587322993931128E-2</v>
      </c>
      <c r="R48" s="372">
        <f>P48/X48-1</f>
        <v>0.13967949547599146</v>
      </c>
      <c r="S48" s="373">
        <f>P48/Y48-1</f>
        <v>-1.8471431110835823E-3</v>
      </c>
      <c r="U48" s="154">
        <v>35592</v>
      </c>
      <c r="V48" s="155">
        <v>31815</v>
      </c>
      <c r="W48" s="155">
        <v>3777</v>
      </c>
      <c r="X48" s="155">
        <v>33996.400000000001</v>
      </c>
      <c r="Y48" s="155">
        <v>38816.699999999997</v>
      </c>
    </row>
    <row r="49" spans="1:26" ht="16.5" thickBot="1">
      <c r="A49" s="451"/>
      <c r="B49" s="238" t="s">
        <v>108</v>
      </c>
      <c r="C49" s="239">
        <v>28.09</v>
      </c>
      <c r="D49" s="240">
        <v>29.98</v>
      </c>
      <c r="E49" s="240">
        <v>29</v>
      </c>
      <c r="F49" s="240">
        <v>30</v>
      </c>
      <c r="G49" s="240">
        <v>25</v>
      </c>
      <c r="H49" s="240">
        <v>30</v>
      </c>
      <c r="I49" s="240">
        <v>31</v>
      </c>
      <c r="J49" s="242">
        <v>32</v>
      </c>
      <c r="K49" s="388">
        <v>27</v>
      </c>
      <c r="L49" s="389">
        <v>26</v>
      </c>
      <c r="M49" s="389">
        <v>25</v>
      </c>
      <c r="N49" s="389">
        <v>17</v>
      </c>
      <c r="O49" s="390">
        <v>19</v>
      </c>
      <c r="P49" s="374">
        <f>SUMPRODUCT(C48:O48,C49:O49/SUM(C48:O48))</f>
        <v>29.575052264808367</v>
      </c>
      <c r="Q49" s="375">
        <f>P49-U49</f>
        <v>1.5042189314750338</v>
      </c>
      <c r="R49" s="376">
        <f>P49-X49</f>
        <v>3.4658818820619572</v>
      </c>
      <c r="S49" s="377">
        <f>P49-Y49</f>
        <v>2.9240515357407197</v>
      </c>
      <c r="T49" s="175"/>
      <c r="U49" s="156">
        <v>28.070833333333333</v>
      </c>
      <c r="V49" s="156">
        <v>28.411695741002671</v>
      </c>
      <c r="W49" s="156">
        <v>25.199629335451416</v>
      </c>
      <c r="X49" s="156">
        <v>26.109170382746409</v>
      </c>
      <c r="Y49" s="156">
        <v>26.651000729067647</v>
      </c>
      <c r="Z49" s="175"/>
    </row>
    <row r="50" spans="1:26" ht="16">
      <c r="A50" s="453" t="s">
        <v>103</v>
      </c>
      <c r="B50" s="308" t="s">
        <v>2</v>
      </c>
      <c r="C50" s="309">
        <v>4200</v>
      </c>
      <c r="D50" s="310">
        <v>730</v>
      </c>
      <c r="E50" s="310">
        <v>43300</v>
      </c>
      <c r="F50" s="310">
        <v>62700</v>
      </c>
      <c r="G50" s="310">
        <v>2730</v>
      </c>
      <c r="H50" s="310">
        <v>2930</v>
      </c>
      <c r="I50" s="310">
        <v>22850</v>
      </c>
      <c r="J50" s="311">
        <v>21660</v>
      </c>
      <c r="K50" s="385">
        <v>16425</v>
      </c>
      <c r="L50" s="386">
        <v>2030</v>
      </c>
      <c r="M50" s="386">
        <v>550</v>
      </c>
      <c r="N50" s="386">
        <v>10</v>
      </c>
      <c r="O50" s="387">
        <v>13</v>
      </c>
      <c r="P50" s="370">
        <f>SUM(C50:O50)</f>
        <v>180128</v>
      </c>
      <c r="Q50" s="371">
        <f>P50/U50-1</f>
        <v>-2.1149875013585451E-2</v>
      </c>
      <c r="R50" s="372">
        <f>P50/X50-1</f>
        <v>-7.7574146184587578E-2</v>
      </c>
      <c r="S50" s="373">
        <f>P50/Y50-1</f>
        <v>-9.132595846173952E-2</v>
      </c>
      <c r="U50" s="154">
        <v>184020</v>
      </c>
      <c r="V50" s="155">
        <v>165065</v>
      </c>
      <c r="W50" s="155">
        <v>18955</v>
      </c>
      <c r="X50" s="155">
        <v>195276.4</v>
      </c>
      <c r="Y50" s="155">
        <v>198231.7</v>
      </c>
    </row>
    <row r="51" spans="1:26" ht="16.5" thickBot="1">
      <c r="A51" s="451"/>
      <c r="B51" s="238" t="s">
        <v>108</v>
      </c>
      <c r="C51" s="226">
        <v>0</v>
      </c>
      <c r="D51" s="221">
        <v>0</v>
      </c>
      <c r="E51" s="221">
        <v>0</v>
      </c>
      <c r="F51" s="221">
        <v>0</v>
      </c>
      <c r="G51" s="221">
        <v>0</v>
      </c>
      <c r="H51" s="221">
        <v>0</v>
      </c>
      <c r="I51" s="221">
        <v>0</v>
      </c>
      <c r="J51" s="227">
        <v>0</v>
      </c>
      <c r="K51" s="232">
        <v>0</v>
      </c>
      <c r="L51" s="224">
        <v>0</v>
      </c>
      <c r="M51" s="224">
        <v>0</v>
      </c>
      <c r="N51" s="224">
        <v>0</v>
      </c>
      <c r="O51" s="233">
        <v>0</v>
      </c>
      <c r="P51" s="359"/>
      <c r="Q51" s="360"/>
      <c r="R51" s="361"/>
      <c r="S51" s="362"/>
      <c r="T51" s="175"/>
      <c r="U51" s="156">
        <v>20.183213781110748</v>
      </c>
      <c r="V51" s="156">
        <v>20.368188289461727</v>
      </c>
      <c r="W51" s="156">
        <v>18.572408335531524</v>
      </c>
      <c r="X51" s="156">
        <v>20.286436046547358</v>
      </c>
      <c r="Y51" s="156">
        <v>20.731139873188798</v>
      </c>
      <c r="Z51" s="175"/>
    </row>
    <row r="52" spans="1:26" ht="16">
      <c r="A52" s="453" t="s">
        <v>104</v>
      </c>
      <c r="B52" s="308" t="s">
        <v>2</v>
      </c>
      <c r="C52" s="309">
        <v>1000</v>
      </c>
      <c r="D52" s="310">
        <v>70</v>
      </c>
      <c r="E52" s="310">
        <v>5300</v>
      </c>
      <c r="F52" s="310">
        <v>17100</v>
      </c>
      <c r="G52" s="310">
        <v>400</v>
      </c>
      <c r="H52" s="310">
        <v>4280</v>
      </c>
      <c r="I52" s="310">
        <v>1670</v>
      </c>
      <c r="J52" s="311">
        <v>2410</v>
      </c>
      <c r="K52" s="385">
        <v>1265</v>
      </c>
      <c r="L52" s="386">
        <v>25</v>
      </c>
      <c r="M52" s="386">
        <v>3</v>
      </c>
      <c r="N52" s="386">
        <v>0</v>
      </c>
      <c r="O52" s="387">
        <v>0</v>
      </c>
      <c r="P52" s="370">
        <f>SUM(C52:O52)</f>
        <v>33523</v>
      </c>
      <c r="Q52" s="371">
        <f>P52/U52-1</f>
        <v>-4.2528276019650368E-2</v>
      </c>
      <c r="R52" s="372">
        <f>P52/X52-1</f>
        <v>-0.34798422231903903</v>
      </c>
      <c r="S52" s="373">
        <f>P52/Y52-1</f>
        <v>-0.35317623405515641</v>
      </c>
      <c r="U52" s="154">
        <v>35012</v>
      </c>
      <c r="V52" s="155">
        <v>33845</v>
      </c>
      <c r="W52" s="155">
        <v>1167</v>
      </c>
      <c r="X52" s="155">
        <v>51414.400000000001</v>
      </c>
      <c r="Y52" s="155">
        <v>51827.1</v>
      </c>
    </row>
    <row r="53" spans="1:26" ht="16.5" thickBot="1">
      <c r="A53" s="454"/>
      <c r="B53" s="243" t="s">
        <v>108</v>
      </c>
      <c r="C53" s="226">
        <v>0</v>
      </c>
      <c r="D53" s="221">
        <v>0</v>
      </c>
      <c r="E53" s="221">
        <v>0</v>
      </c>
      <c r="F53" s="221">
        <v>0</v>
      </c>
      <c r="G53" s="221">
        <v>0</v>
      </c>
      <c r="H53" s="221">
        <v>0</v>
      </c>
      <c r="I53" s="221">
        <v>0</v>
      </c>
      <c r="J53" s="227">
        <v>0</v>
      </c>
      <c r="K53" s="232">
        <v>0</v>
      </c>
      <c r="L53" s="224">
        <v>0</v>
      </c>
      <c r="M53" s="224">
        <v>0</v>
      </c>
      <c r="N53" s="224">
        <v>0</v>
      </c>
      <c r="O53" s="233">
        <v>0</v>
      </c>
      <c r="P53" s="359"/>
      <c r="Q53" s="360"/>
      <c r="R53" s="361"/>
      <c r="S53" s="362"/>
      <c r="T53" s="175"/>
      <c r="U53" s="156">
        <v>23.700388438249743</v>
      </c>
      <c r="V53" s="156">
        <v>23.793027035012557</v>
      </c>
      <c r="W53" s="156">
        <v>21.013710368466153</v>
      </c>
      <c r="X53" s="156">
        <v>21.954413549511422</v>
      </c>
      <c r="Y53" s="156">
        <v>24.432821824875404</v>
      </c>
      <c r="Z53" s="175"/>
    </row>
    <row r="54" spans="1:26" ht="16.5" thickBot="1">
      <c r="A54" s="208" t="s">
        <v>146</v>
      </c>
      <c r="B54" s="225" t="s">
        <v>2</v>
      </c>
      <c r="C54" s="230">
        <f>C48+C50+C52</f>
        <v>6800</v>
      </c>
      <c r="D54" s="223">
        <f t="shared" ref="D54:N54" si="4">D48+D50+D52</f>
        <v>2980</v>
      </c>
      <c r="E54" s="223">
        <f t="shared" si="4"/>
        <v>59770</v>
      </c>
      <c r="F54" s="223">
        <f t="shared" si="4"/>
        <v>87800</v>
      </c>
      <c r="G54" s="223">
        <f t="shared" si="4"/>
        <v>3640</v>
      </c>
      <c r="H54" s="223">
        <f t="shared" si="4"/>
        <v>8110</v>
      </c>
      <c r="I54" s="223">
        <f t="shared" si="4"/>
        <v>32240</v>
      </c>
      <c r="J54" s="231">
        <f t="shared" si="4"/>
        <v>27070</v>
      </c>
      <c r="K54" s="397">
        <f t="shared" si="4"/>
        <v>19890</v>
      </c>
      <c r="L54" s="398">
        <f t="shared" si="4"/>
        <v>2895</v>
      </c>
      <c r="M54" s="398">
        <f>M48+M50+M52</f>
        <v>1143</v>
      </c>
      <c r="N54" s="398">
        <f t="shared" si="4"/>
        <v>45</v>
      </c>
      <c r="O54" s="399">
        <f>O48+O50+O52</f>
        <v>13</v>
      </c>
      <c r="P54" s="366">
        <f>SUM(C54:O54)</f>
        <v>252396</v>
      </c>
      <c r="Q54" s="367">
        <f>P54/U54-1</f>
        <v>-8.7501570943823159E-3</v>
      </c>
      <c r="R54" s="367">
        <f>P54/X54-1</f>
        <v>-0.10079262609766315</v>
      </c>
      <c r="S54" s="368">
        <f>P54/Y54-1</f>
        <v>-0.12628104494842929</v>
      </c>
      <c r="U54" s="206">
        <f>U48+U50+U52</f>
        <v>254624</v>
      </c>
      <c r="V54" s="206">
        <f>V48+V50+V52</f>
        <v>230725</v>
      </c>
      <c r="W54" s="206">
        <f>W48+W50+W52</f>
        <v>23899</v>
      </c>
      <c r="X54" s="206">
        <f>X48+X50+X52</f>
        <v>280687.2</v>
      </c>
      <c r="Y54" s="206">
        <f>Y48+Y50+Y52</f>
        <v>288875.5</v>
      </c>
    </row>
    <row r="55" spans="1:26" ht="16">
      <c r="A55" s="450" t="s">
        <v>105</v>
      </c>
      <c r="B55" s="312" t="s">
        <v>2</v>
      </c>
      <c r="C55" s="309">
        <v>410</v>
      </c>
      <c r="D55" s="310">
        <v>350</v>
      </c>
      <c r="E55" s="310">
        <v>2910</v>
      </c>
      <c r="F55" s="310">
        <v>9800</v>
      </c>
      <c r="G55" s="310">
        <v>430</v>
      </c>
      <c r="H55" s="310">
        <v>370</v>
      </c>
      <c r="I55" s="310">
        <v>3520</v>
      </c>
      <c r="J55" s="311">
        <v>2080</v>
      </c>
      <c r="K55" s="385">
        <v>605</v>
      </c>
      <c r="L55" s="386">
        <v>235</v>
      </c>
      <c r="M55" s="386">
        <v>260</v>
      </c>
      <c r="N55" s="386">
        <v>3</v>
      </c>
      <c r="O55" s="387">
        <v>12</v>
      </c>
      <c r="P55" s="370">
        <f>SUM(C55:O55)</f>
        <v>20985</v>
      </c>
      <c r="Q55" s="371">
        <f>P55/U55-1</f>
        <v>0.17556439415158809</v>
      </c>
      <c r="R55" s="372">
        <f>P55/X55-1</f>
        <v>0.48017266917770529</v>
      </c>
      <c r="S55" s="373">
        <f>P55/Y55-1</f>
        <v>0.69224317982049421</v>
      </c>
      <c r="U55" s="154">
        <v>17851</v>
      </c>
      <c r="V55" s="155">
        <v>16600</v>
      </c>
      <c r="W55" s="155">
        <v>1251</v>
      </c>
      <c r="X55" s="155">
        <v>14177.4</v>
      </c>
      <c r="Y55" s="155">
        <v>12400.699999999999</v>
      </c>
    </row>
    <row r="56" spans="1:26" ht="16.5" thickBot="1">
      <c r="A56" s="451"/>
      <c r="B56" s="238" t="s">
        <v>108</v>
      </c>
      <c r="C56" s="239">
        <v>17</v>
      </c>
      <c r="D56" s="240">
        <v>16</v>
      </c>
      <c r="E56" s="240">
        <v>19</v>
      </c>
      <c r="F56" s="240">
        <v>16</v>
      </c>
      <c r="G56" s="240">
        <v>12</v>
      </c>
      <c r="H56" s="240">
        <v>13</v>
      </c>
      <c r="I56" s="240">
        <v>15</v>
      </c>
      <c r="J56" s="242">
        <v>14</v>
      </c>
      <c r="K56" s="388">
        <v>20</v>
      </c>
      <c r="L56" s="389">
        <v>18</v>
      </c>
      <c r="M56" s="389">
        <v>17</v>
      </c>
      <c r="N56" s="389">
        <v>12</v>
      </c>
      <c r="O56" s="390">
        <v>14</v>
      </c>
      <c r="P56" s="374">
        <f>SUMPRODUCT(C55:O55,C56:O56/SUM(C55:O55))</f>
        <v>16.083106981177028</v>
      </c>
      <c r="Q56" s="375">
        <f>P56-U56</f>
        <v>-1.2089214766124528</v>
      </c>
      <c r="R56" s="376">
        <f>P56-X56</f>
        <v>0.12582285291655815</v>
      </c>
      <c r="S56" s="377">
        <f>P56-Y56</f>
        <v>-0.87000050469070445</v>
      </c>
      <c r="U56" s="156">
        <v>17.292028457789481</v>
      </c>
      <c r="V56" s="156">
        <v>17.415361445783134</v>
      </c>
      <c r="W56" s="156">
        <v>15.655475619504397</v>
      </c>
      <c r="X56" s="156">
        <v>15.95728412826047</v>
      </c>
      <c r="Y56" s="156">
        <v>16.953107485867733</v>
      </c>
    </row>
    <row r="57" spans="1:26" ht="16">
      <c r="A57" s="453" t="s">
        <v>106</v>
      </c>
      <c r="B57" s="308" t="s">
        <v>2</v>
      </c>
      <c r="C57" s="309">
        <v>330</v>
      </c>
      <c r="D57" s="310">
        <v>200</v>
      </c>
      <c r="E57" s="310">
        <v>4020</v>
      </c>
      <c r="F57" s="310">
        <v>5630</v>
      </c>
      <c r="G57" s="310">
        <v>480</v>
      </c>
      <c r="H57" s="310">
        <v>240</v>
      </c>
      <c r="I57" s="310">
        <v>1445</v>
      </c>
      <c r="J57" s="311">
        <v>370</v>
      </c>
      <c r="K57" s="385">
        <v>1370</v>
      </c>
      <c r="L57" s="386">
        <v>55</v>
      </c>
      <c r="M57" s="386">
        <v>455</v>
      </c>
      <c r="N57" s="386">
        <v>30</v>
      </c>
      <c r="O57" s="387">
        <v>2</v>
      </c>
      <c r="P57" s="370">
        <f>SUM(C57:O57)</f>
        <v>14627</v>
      </c>
      <c r="Q57" s="371">
        <f>P57/U57-1</f>
        <v>4.0253182561695411E-2</v>
      </c>
      <c r="R57" s="372">
        <f>P57/X57-1</f>
        <v>-0.14152737346229705</v>
      </c>
      <c r="S57" s="373">
        <f>P57/Y57-1</f>
        <v>-0.14952874345153999</v>
      </c>
      <c r="U57" s="154">
        <v>14061</v>
      </c>
      <c r="V57" s="155">
        <v>11665</v>
      </c>
      <c r="W57" s="155">
        <v>2396</v>
      </c>
      <c r="X57" s="155">
        <v>17038.400000000001</v>
      </c>
      <c r="Y57" s="155">
        <v>17198.7</v>
      </c>
    </row>
    <row r="58" spans="1:26" ht="16.5" thickBot="1">
      <c r="A58" s="454"/>
      <c r="B58" s="243" t="s">
        <v>108</v>
      </c>
      <c r="C58" s="239">
        <v>32.090909090909093</v>
      </c>
      <c r="D58" s="240">
        <v>34.25</v>
      </c>
      <c r="E58" s="240">
        <v>33.35820895522388</v>
      </c>
      <c r="F58" s="240">
        <v>37.152753108348136</v>
      </c>
      <c r="G58" s="240">
        <v>36.083333333333336</v>
      </c>
      <c r="H58" s="240">
        <v>39</v>
      </c>
      <c r="I58" s="240">
        <v>35.384083044982702</v>
      </c>
      <c r="J58" s="242">
        <v>32.810810810810814</v>
      </c>
      <c r="K58" s="388">
        <v>38.357664233576642</v>
      </c>
      <c r="L58" s="389">
        <v>34.454545454545453</v>
      </c>
      <c r="M58" s="389">
        <v>27.725274725274726</v>
      </c>
      <c r="N58" s="389">
        <v>32.166666666666664</v>
      </c>
      <c r="O58" s="390">
        <v>37</v>
      </c>
      <c r="P58" s="374">
        <f>SUMPRODUCT(C57:O57,C58:O58/SUM(C57:O57))</f>
        <v>35.465850823818975</v>
      </c>
      <c r="Q58" s="375">
        <f>P58-U58</f>
        <v>0.97164699763307283</v>
      </c>
      <c r="R58" s="376">
        <f>P58-X58</f>
        <v>0.78993054961483011</v>
      </c>
      <c r="S58" s="377">
        <f>P58-Y58</f>
        <v>4.2858430325324264</v>
      </c>
      <c r="U58" s="156">
        <v>34.494203826185903</v>
      </c>
      <c r="V58" s="156">
        <v>34.6215173596228</v>
      </c>
      <c r="W58" s="156">
        <v>33.874373956594326</v>
      </c>
      <c r="X58" s="156">
        <v>34.675920274204145</v>
      </c>
      <c r="Y58" s="156">
        <v>31.180007791286549</v>
      </c>
    </row>
    <row r="59" spans="1:26" ht="16.5" thickBot="1">
      <c r="A59" s="208" t="s">
        <v>111</v>
      </c>
      <c r="B59" s="225" t="s">
        <v>2</v>
      </c>
      <c r="C59" s="230">
        <f>C57+C55</f>
        <v>740</v>
      </c>
      <c r="D59" s="223">
        <f t="shared" ref="D59:O59" si="5">D57+D55</f>
        <v>550</v>
      </c>
      <c r="E59" s="223">
        <f t="shared" si="5"/>
        <v>6930</v>
      </c>
      <c r="F59" s="223">
        <f t="shared" si="5"/>
        <v>15430</v>
      </c>
      <c r="G59" s="223">
        <f t="shared" si="5"/>
        <v>910</v>
      </c>
      <c r="H59" s="223">
        <f t="shared" si="5"/>
        <v>610</v>
      </c>
      <c r="I59" s="223">
        <f t="shared" si="5"/>
        <v>4965</v>
      </c>
      <c r="J59" s="231">
        <f t="shared" si="5"/>
        <v>2450</v>
      </c>
      <c r="K59" s="397">
        <f t="shared" si="5"/>
        <v>1975</v>
      </c>
      <c r="L59" s="398">
        <f t="shared" si="5"/>
        <v>290</v>
      </c>
      <c r="M59" s="398">
        <f t="shared" si="5"/>
        <v>715</v>
      </c>
      <c r="N59" s="398">
        <f>N57+N55</f>
        <v>33</v>
      </c>
      <c r="O59" s="399">
        <f t="shared" si="5"/>
        <v>14</v>
      </c>
      <c r="P59" s="366">
        <f>SUM(C59:O59)</f>
        <v>35612</v>
      </c>
      <c r="Q59" s="367">
        <f>P59/U59-1</f>
        <v>0.11594384557533211</v>
      </c>
      <c r="R59" s="367">
        <f>P59/X59-1</f>
        <v>0.14083252711767758</v>
      </c>
      <c r="S59" s="368">
        <f>P59/Y59-1</f>
        <v>0.20313249592897153</v>
      </c>
      <c r="U59" s="206">
        <f>U57+U55</f>
        <v>31912</v>
      </c>
      <c r="V59" s="206">
        <f>V57+V55</f>
        <v>28265</v>
      </c>
      <c r="W59" s="206">
        <f>W57+W55</f>
        <v>3647</v>
      </c>
      <c r="X59" s="206">
        <f>X57+X55</f>
        <v>31215.800000000003</v>
      </c>
      <c r="Y59" s="206">
        <f>Y57+Y55</f>
        <v>29599.4</v>
      </c>
    </row>
    <row r="60" spans="1:26" ht="42.5" thickBot="1">
      <c r="A60" s="207" t="s">
        <v>161</v>
      </c>
      <c r="B60" s="225" t="s">
        <v>2</v>
      </c>
      <c r="C60" s="230">
        <f>C59+C54+C46+C45</f>
        <v>25540</v>
      </c>
      <c r="D60" s="223">
        <f t="shared" ref="D60:O60" si="6">D59+D54+D46+D45</f>
        <v>62195</v>
      </c>
      <c r="E60" s="223">
        <f t="shared" si="6"/>
        <v>185180</v>
      </c>
      <c r="F60" s="223">
        <f t="shared" si="6"/>
        <v>265320</v>
      </c>
      <c r="G60" s="223">
        <f t="shared" si="6"/>
        <v>26950</v>
      </c>
      <c r="H60" s="223">
        <f t="shared" si="6"/>
        <v>44770</v>
      </c>
      <c r="I60" s="223">
        <f t="shared" si="6"/>
        <v>126235</v>
      </c>
      <c r="J60" s="231">
        <f t="shared" si="6"/>
        <v>100140</v>
      </c>
      <c r="K60" s="397">
        <f t="shared" si="6"/>
        <v>56900</v>
      </c>
      <c r="L60" s="398">
        <f>L59+L54+L46+L45</f>
        <v>18240</v>
      </c>
      <c r="M60" s="398">
        <f t="shared" si="6"/>
        <v>13593</v>
      </c>
      <c r="N60" s="398">
        <f>N59+N54+N46+N45</f>
        <v>13638</v>
      </c>
      <c r="O60" s="399">
        <f t="shared" si="6"/>
        <v>1211</v>
      </c>
      <c r="P60" s="366">
        <f>P35+P42+P54+P59+P46</f>
        <v>920832</v>
      </c>
      <c r="Q60" s="367">
        <f>P60/U60-1</f>
        <v>5.8797556847450139E-2</v>
      </c>
      <c r="R60" s="367">
        <f>P60/X60-1</f>
        <v>-2.199167744690067E-2</v>
      </c>
      <c r="S60" s="368">
        <f>P60/Y60-1</f>
        <v>-7.557485189181834E-2</v>
      </c>
      <c r="U60" s="206">
        <f>U35+U42+U54+U59+U46</f>
        <v>869696</v>
      </c>
      <c r="V60" s="206">
        <f>V35+V42+V54+V59+V46</f>
        <v>768445</v>
      </c>
      <c r="W60" s="206">
        <f>W35+W42+W54+W59+W46</f>
        <v>101251</v>
      </c>
      <c r="X60" s="206">
        <f>X35+X42+X54+X59+X46</f>
        <v>941538</v>
      </c>
      <c r="Y60" s="206">
        <f>Y35+Y42+Y54+Y59+Y46</f>
        <v>996113.1</v>
      </c>
    </row>
    <row r="61" spans="1:26" ht="16">
      <c r="A61" s="455" t="s">
        <v>107</v>
      </c>
      <c r="B61" s="313" t="s">
        <v>2</v>
      </c>
      <c r="C61" s="314">
        <v>1650</v>
      </c>
      <c r="D61" s="315">
        <v>12125</v>
      </c>
      <c r="E61" s="315">
        <v>2980</v>
      </c>
      <c r="F61" s="315">
        <v>670</v>
      </c>
      <c r="G61" s="315">
        <v>2740</v>
      </c>
      <c r="H61" s="315">
        <v>1850</v>
      </c>
      <c r="I61" s="315">
        <v>3770</v>
      </c>
      <c r="J61" s="316">
        <v>1040</v>
      </c>
      <c r="K61" s="400">
        <v>210</v>
      </c>
      <c r="L61" s="401">
        <v>0</v>
      </c>
      <c r="M61" s="401">
        <v>15</v>
      </c>
      <c r="N61" s="401">
        <v>265</v>
      </c>
      <c r="O61" s="402">
        <v>40</v>
      </c>
      <c r="P61" s="378">
        <f>SUM(C61:O61)</f>
        <v>27355</v>
      </c>
      <c r="Q61" s="379">
        <f>P61/U61-1</f>
        <v>-5.2968668859269541E-2</v>
      </c>
      <c r="R61" s="380">
        <f>P61/X61-1</f>
        <v>-0.11529181948136791</v>
      </c>
      <c r="S61" s="381">
        <f>P61/Y61-1</f>
        <v>-0.19120929806250941</v>
      </c>
      <c r="U61" s="154">
        <v>28885</v>
      </c>
      <c r="V61" s="155">
        <v>28355</v>
      </c>
      <c r="W61" s="155">
        <v>530</v>
      </c>
      <c r="X61" s="155">
        <v>30919.8</v>
      </c>
      <c r="Y61" s="155">
        <v>33822.1</v>
      </c>
      <c r="Z61" s="99"/>
    </row>
    <row r="62" spans="1:26" ht="16.5" thickBot="1">
      <c r="A62" s="456"/>
      <c r="B62" s="244" t="s">
        <v>108</v>
      </c>
      <c r="C62" s="226">
        <v>0</v>
      </c>
      <c r="D62" s="221">
        <v>0</v>
      </c>
      <c r="E62" s="221">
        <v>0</v>
      </c>
      <c r="F62" s="221">
        <v>0</v>
      </c>
      <c r="G62" s="221">
        <v>0</v>
      </c>
      <c r="H62" s="221">
        <v>0</v>
      </c>
      <c r="I62" s="221">
        <v>0</v>
      </c>
      <c r="J62" s="227">
        <v>0</v>
      </c>
      <c r="K62" s="232">
        <v>0</v>
      </c>
      <c r="L62" s="224">
        <v>0</v>
      </c>
      <c r="M62" s="224">
        <v>0</v>
      </c>
      <c r="N62" s="224">
        <v>0</v>
      </c>
      <c r="O62" s="233">
        <v>0</v>
      </c>
      <c r="P62" s="359"/>
      <c r="Q62" s="360"/>
      <c r="R62" s="361"/>
      <c r="S62" s="362"/>
      <c r="U62" s="156">
        <v>111.83510818764064</v>
      </c>
      <c r="V62" s="156">
        <v>112.27868806207019</v>
      </c>
      <c r="W62" s="156">
        <v>88.103584905660384</v>
      </c>
      <c r="X62" s="156">
        <v>91.374769565133022</v>
      </c>
      <c r="Y62" s="156">
        <v>90.903270346903355</v>
      </c>
      <c r="Z62" s="99"/>
    </row>
    <row r="64" spans="1:26" ht="13">
      <c r="A64" s="352" t="s">
        <v>163</v>
      </c>
    </row>
    <row r="65" spans="1:25" ht="10" customHeight="1"/>
    <row r="66" spans="1:25" ht="14.5" customHeight="1">
      <c r="A66" s="152" t="s">
        <v>53</v>
      </c>
      <c r="B66" s="148"/>
      <c r="C66" s="180"/>
      <c r="D66" s="180"/>
      <c r="E66" s="180"/>
      <c r="F66" s="180"/>
      <c r="G66" s="180"/>
      <c r="H66" s="180"/>
      <c r="I66" s="180"/>
      <c r="J66" s="180"/>
      <c r="K66" s="179"/>
      <c r="L66" s="179"/>
      <c r="M66" s="179"/>
      <c r="N66" s="179"/>
      <c r="O66" s="179"/>
      <c r="P66" s="178"/>
      <c r="Q66" s="177"/>
      <c r="R66" s="177"/>
      <c r="S66" s="177"/>
      <c r="U66" s="99"/>
      <c r="V66" s="99"/>
      <c r="W66" s="99"/>
      <c r="X66" s="99"/>
      <c r="Y66" s="99"/>
    </row>
    <row r="67" spans="1:25" ht="14.5" customHeight="1">
      <c r="A67" s="152" t="s">
        <v>121</v>
      </c>
    </row>
    <row r="68" spans="1:25" ht="14.5" customHeight="1">
      <c r="A68" s="153" t="s">
        <v>122</v>
      </c>
    </row>
    <row r="69" spans="1:25" ht="14.5" customHeight="1">
      <c r="A69" s="153" t="s">
        <v>160</v>
      </c>
    </row>
    <row r="70" spans="1:25" ht="14.5" customHeight="1">
      <c r="A70" s="153" t="s">
        <v>181</v>
      </c>
      <c r="P70" s="116"/>
    </row>
    <row r="71" spans="1:25" ht="13.5" customHeight="1"/>
    <row r="72" spans="1:25" ht="15" customHeight="1"/>
    <row r="73" spans="1:25" ht="13.5" customHeight="1"/>
    <row r="74" spans="1:25" ht="13.5" customHeight="1"/>
    <row r="75" spans="1:25" ht="13.5" customHeight="1"/>
    <row r="76" spans="1:25" ht="13.5" customHeight="1"/>
    <row r="77" spans="1:25" ht="13.5" customHeight="1"/>
    <row r="78" spans="1:25" ht="14.25" customHeight="1"/>
    <row r="79" spans="1:25" ht="19.5" customHeight="1"/>
    <row r="90" ht="13.4" customHeight="1"/>
  </sheetData>
  <sheetProtection selectLockedCells="1" selectUnlockedCells="1"/>
  <mergeCells count="22">
    <mergeCell ref="A55:A56"/>
    <mergeCell ref="A57:A58"/>
    <mergeCell ref="A61:A62"/>
    <mergeCell ref="A46:A47"/>
    <mergeCell ref="A38:A39"/>
    <mergeCell ref="A40:A41"/>
    <mergeCell ref="A43:A44"/>
    <mergeCell ref="A48:A49"/>
    <mergeCell ref="A50:A51"/>
    <mergeCell ref="A52:A53"/>
    <mergeCell ref="A36:A37"/>
    <mergeCell ref="A1:M1"/>
    <mergeCell ref="A15:A16"/>
    <mergeCell ref="A17:A18"/>
    <mergeCell ref="A19:A20"/>
    <mergeCell ref="A21:A22"/>
    <mergeCell ref="A23:A24"/>
    <mergeCell ref="A25:A26"/>
    <mergeCell ref="A27:A28"/>
    <mergeCell ref="A29:A30"/>
    <mergeCell ref="A31:A32"/>
    <mergeCell ref="A33:A34"/>
  </mergeCells>
  <hyperlinks>
    <hyperlink ref="U1" location="'Sommaire&amp;Méthodo'!A1" display="Retour Sommaire"/>
  </hyperlinks>
  <pageMargins left="0.74803149606299213" right="0.74803149606299213" top="0.98425196850393704" bottom="0.98425196850393704" header="0.51181102362204722" footer="0.51181102362204722"/>
  <pageSetup paperSize="9" scale="39" firstPageNumber="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V139"/>
  <sheetViews>
    <sheetView showGridLines="0" topLeftCell="B43" zoomScale="120" zoomScaleNormal="120" workbookViewId="0">
      <selection activeCell="Q37" activeCellId="1" sqref="Q30 Q37"/>
    </sheetView>
  </sheetViews>
  <sheetFormatPr baseColWidth="10" defaultColWidth="11.54296875" defaultRowHeight="13"/>
  <cols>
    <col min="1" max="1" width="11.54296875" style="95"/>
    <col min="2" max="2" width="17" style="95" customWidth="1"/>
    <col min="3" max="3" width="27.54296875" style="95" customWidth="1"/>
    <col min="4" max="5" width="9.453125" style="95" customWidth="1"/>
    <col min="6" max="7" width="10.453125" style="95" customWidth="1"/>
    <col min="8" max="8" width="9.453125" style="95" customWidth="1"/>
    <col min="9" max="9" width="9.54296875" style="95" customWidth="1"/>
    <col min="10" max="10" width="9.453125" style="95" customWidth="1"/>
    <col min="11" max="11" width="10.453125" style="95" customWidth="1"/>
    <col min="12" max="12" width="9.453125" style="95" customWidth="1"/>
    <col min="13" max="13" width="10" style="95" customWidth="1"/>
    <col min="14" max="15" width="9.54296875" style="95" customWidth="1"/>
    <col min="16" max="16" width="14" style="95" customWidth="1"/>
    <col min="17" max="17" width="13.81640625" style="201" customWidth="1"/>
    <col min="18" max="18" width="13.26953125" style="95" customWidth="1"/>
    <col min="19" max="16384" width="11.54296875" style="95"/>
  </cols>
  <sheetData>
    <row r="1" spans="1:21" ht="16">
      <c r="A1" s="452"/>
      <c r="B1" s="452"/>
      <c r="C1" s="452"/>
      <c r="D1" s="452"/>
      <c r="E1" s="452"/>
      <c r="F1" s="452"/>
      <c r="G1" s="452"/>
      <c r="H1" s="452"/>
      <c r="I1" s="452"/>
      <c r="J1" s="452"/>
      <c r="K1" s="452"/>
      <c r="L1" s="452"/>
      <c r="M1" s="452"/>
      <c r="N1" s="204"/>
      <c r="Q1" s="188"/>
      <c r="T1" s="245" t="s">
        <v>138</v>
      </c>
    </row>
    <row r="2" spans="1:21">
      <c r="A2" s="96"/>
      <c r="Q2" s="188"/>
    </row>
    <row r="3" spans="1:21">
      <c r="A3" s="96"/>
      <c r="Q3" s="188"/>
    </row>
    <row r="4" spans="1:21">
      <c r="A4" s="96"/>
      <c r="Q4" s="188"/>
    </row>
    <row r="5" spans="1:21">
      <c r="A5" s="96"/>
      <c r="Q5" s="188"/>
    </row>
    <row r="6" spans="1:21">
      <c r="A6" s="96"/>
      <c r="Q6" s="188"/>
    </row>
    <row r="7" spans="1:21" ht="14">
      <c r="B7" s="97"/>
      <c r="C7" s="97"/>
      <c r="D7" s="97"/>
      <c r="E7" s="98"/>
      <c r="F7" s="98"/>
      <c r="G7" s="98"/>
      <c r="H7" s="98"/>
      <c r="I7" s="98"/>
      <c r="J7" s="98"/>
      <c r="K7" s="99"/>
      <c r="L7" s="99"/>
      <c r="M7" s="99"/>
      <c r="N7" s="99"/>
      <c r="O7" s="99"/>
      <c r="P7" s="99"/>
      <c r="Q7" s="99"/>
      <c r="R7" s="99"/>
      <c r="U7" s="100"/>
    </row>
    <row r="8" spans="1:21" ht="26.25" customHeight="1">
      <c r="B8" s="97"/>
      <c r="C8" s="97"/>
      <c r="D8" s="97"/>
      <c r="E8" s="98"/>
      <c r="F8" s="98"/>
      <c r="G8" s="98"/>
      <c r="H8" s="98"/>
      <c r="I8" s="98"/>
      <c r="J8" s="98"/>
      <c r="K8" s="99"/>
      <c r="L8" s="99"/>
      <c r="M8" s="99"/>
      <c r="N8" s="99"/>
      <c r="O8" s="99"/>
      <c r="P8" s="99"/>
      <c r="Q8" s="99"/>
      <c r="R8" s="99"/>
      <c r="U8" s="100"/>
    </row>
    <row r="9" spans="1:21" ht="14.5" thickBot="1">
      <c r="C9" s="97"/>
      <c r="D9" s="97"/>
      <c r="E9" s="97"/>
      <c r="F9" s="98"/>
      <c r="G9" s="98"/>
      <c r="H9" s="98"/>
      <c r="I9" s="98"/>
      <c r="J9" s="98"/>
      <c r="K9" s="98"/>
      <c r="L9" s="99"/>
      <c r="M9" s="99"/>
      <c r="N9" s="99"/>
      <c r="O9" s="99"/>
      <c r="P9" s="99"/>
      <c r="Q9" s="22"/>
      <c r="R9" s="162"/>
    </row>
    <row r="10" spans="1:21" ht="17.5">
      <c r="B10" s="250" t="s">
        <v>177</v>
      </c>
      <c r="C10" s="251"/>
      <c r="D10" s="251"/>
      <c r="E10" s="251"/>
      <c r="F10" s="251"/>
      <c r="G10" s="251"/>
      <c r="H10" s="211"/>
      <c r="I10" s="211"/>
      <c r="J10" s="211"/>
      <c r="K10" s="211"/>
      <c r="L10" s="212"/>
      <c r="M10" s="212"/>
      <c r="N10" s="212"/>
      <c r="O10" s="212"/>
      <c r="P10" s="212"/>
      <c r="Q10" s="252"/>
      <c r="R10" s="162"/>
    </row>
    <row r="11" spans="1:21" ht="14.25" customHeight="1">
      <c r="B11" s="317" t="s">
        <v>119</v>
      </c>
      <c r="C11" s="160"/>
      <c r="D11" s="160"/>
      <c r="E11" s="160"/>
      <c r="F11" s="160"/>
      <c r="G11" s="160"/>
      <c r="H11" s="321"/>
      <c r="I11" s="95" t="s">
        <v>159</v>
      </c>
      <c r="J11" s="161"/>
      <c r="K11" s="161"/>
      <c r="L11" s="162"/>
      <c r="M11" s="162"/>
      <c r="N11" s="162"/>
      <c r="O11" s="162"/>
      <c r="P11" s="162"/>
      <c r="Q11" s="253"/>
      <c r="R11" s="162"/>
    </row>
    <row r="12" spans="1:21" ht="14.25" customHeight="1">
      <c r="B12" s="254"/>
      <c r="C12" s="160"/>
      <c r="D12" s="160"/>
      <c r="E12" s="160"/>
      <c r="F12" s="160"/>
      <c r="G12" s="160"/>
      <c r="H12" s="320"/>
      <c r="I12" s="161" t="s">
        <v>150</v>
      </c>
      <c r="J12" s="161"/>
      <c r="K12" s="161"/>
      <c r="L12" s="162"/>
      <c r="M12" s="162"/>
      <c r="N12" s="162"/>
      <c r="O12" s="162"/>
      <c r="P12" s="162"/>
      <c r="Q12" s="253"/>
      <c r="R12" s="162"/>
    </row>
    <row r="13" spans="1:21" ht="12" customHeight="1" thickBot="1">
      <c r="B13" s="255" t="s">
        <v>127</v>
      </c>
      <c r="C13" s="256"/>
      <c r="D13" s="256"/>
      <c r="E13" s="256"/>
      <c r="F13" s="256"/>
      <c r="G13" s="256"/>
      <c r="H13" s="218"/>
      <c r="I13" s="218"/>
      <c r="J13" s="218"/>
      <c r="K13" s="218"/>
      <c r="L13" s="219"/>
      <c r="M13" s="219"/>
      <c r="N13" s="219"/>
      <c r="O13" s="219"/>
      <c r="P13" s="219"/>
      <c r="Q13" s="257"/>
      <c r="R13" s="194"/>
    </row>
    <row r="14" spans="1:21" ht="53.5" customHeight="1" thickBot="1">
      <c r="B14" s="260" t="s">
        <v>94</v>
      </c>
      <c r="C14" s="322" t="s">
        <v>151</v>
      </c>
      <c r="D14" s="296" t="s">
        <v>39</v>
      </c>
      <c r="E14" s="261" t="s">
        <v>40</v>
      </c>
      <c r="F14" s="261" t="s">
        <v>41</v>
      </c>
      <c r="G14" s="261" t="s">
        <v>42</v>
      </c>
      <c r="H14" s="261" t="s">
        <v>43</v>
      </c>
      <c r="I14" s="261" t="s">
        <v>44</v>
      </c>
      <c r="J14" s="261" t="s">
        <v>45</v>
      </c>
      <c r="K14" s="262" t="s">
        <v>46</v>
      </c>
      <c r="L14" s="403" t="s">
        <v>47</v>
      </c>
      <c r="M14" s="404" t="s">
        <v>48</v>
      </c>
      <c r="N14" s="404" t="s">
        <v>49</v>
      </c>
      <c r="O14" s="404" t="s">
        <v>128</v>
      </c>
      <c r="P14" s="405" t="s">
        <v>129</v>
      </c>
      <c r="Q14" s="283" t="s">
        <v>50</v>
      </c>
      <c r="R14" s="273"/>
      <c r="S14" s="170"/>
    </row>
    <row r="15" spans="1:21" ht="16.5" customHeight="1">
      <c r="B15" s="460" t="s">
        <v>154</v>
      </c>
      <c r="C15" s="323" t="s">
        <v>155</v>
      </c>
      <c r="D15" s="324">
        <v>6600</v>
      </c>
      <c r="E15" s="325">
        <v>20050</v>
      </c>
      <c r="F15" s="325">
        <v>47500</v>
      </c>
      <c r="G15" s="325">
        <v>81770</v>
      </c>
      <c r="H15" s="325">
        <v>8630</v>
      </c>
      <c r="I15" s="325">
        <v>3450</v>
      </c>
      <c r="J15" s="325">
        <v>42280</v>
      </c>
      <c r="K15" s="326">
        <v>34110</v>
      </c>
      <c r="L15" s="327">
        <v>9590</v>
      </c>
      <c r="M15" s="328">
        <v>1875</v>
      </c>
      <c r="N15" s="328">
        <v>3255</v>
      </c>
      <c r="O15" s="328">
        <v>2350</v>
      </c>
      <c r="P15" s="329">
        <v>320</v>
      </c>
      <c r="Q15" s="330">
        <f>SUM(D15:P15)</f>
        <v>261780</v>
      </c>
      <c r="R15" s="274"/>
      <c r="S15" s="170"/>
      <c r="T15" s="176"/>
    </row>
    <row r="16" spans="1:21" ht="16.5" customHeight="1">
      <c r="B16" s="458"/>
      <c r="C16" s="289" t="s">
        <v>144</v>
      </c>
      <c r="D16" s="295">
        <v>6695</v>
      </c>
      <c r="E16" s="246">
        <v>15990</v>
      </c>
      <c r="F16" s="246">
        <v>42205</v>
      </c>
      <c r="G16" s="246">
        <v>60000</v>
      </c>
      <c r="H16" s="246">
        <v>6765</v>
      </c>
      <c r="I16" s="246">
        <v>3125</v>
      </c>
      <c r="J16" s="246">
        <v>37855</v>
      </c>
      <c r="K16" s="264">
        <v>25145</v>
      </c>
      <c r="L16" s="270">
        <v>8185</v>
      </c>
      <c r="M16" s="247">
        <v>1720</v>
      </c>
      <c r="N16" s="247">
        <v>2675</v>
      </c>
      <c r="O16" s="247">
        <v>2195</v>
      </c>
      <c r="P16" s="280">
        <v>285</v>
      </c>
      <c r="Q16" s="285">
        <f t="shared" ref="Q16:Q18" si="0">SUM(D16:P16)</f>
        <v>212840</v>
      </c>
      <c r="R16" s="275"/>
      <c r="S16" s="170"/>
      <c r="T16" s="176"/>
    </row>
    <row r="17" spans="2:20" ht="16.5" customHeight="1">
      <c r="B17" s="458"/>
      <c r="C17" s="290" t="s">
        <v>141</v>
      </c>
      <c r="D17" s="295">
        <v>6659</v>
      </c>
      <c r="E17" s="246">
        <v>15934.8</v>
      </c>
      <c r="F17" s="246">
        <v>44620</v>
      </c>
      <c r="G17" s="246">
        <v>77197</v>
      </c>
      <c r="H17" s="246">
        <v>8226.4</v>
      </c>
      <c r="I17" s="246">
        <v>4240.2</v>
      </c>
      <c r="J17" s="246">
        <v>39341.4</v>
      </c>
      <c r="K17" s="264">
        <v>32577</v>
      </c>
      <c r="L17" s="270">
        <v>7952</v>
      </c>
      <c r="M17" s="247">
        <v>2195</v>
      </c>
      <c r="N17" s="247">
        <v>3431</v>
      </c>
      <c r="O17" s="247">
        <v>2058</v>
      </c>
      <c r="P17" s="280">
        <v>272</v>
      </c>
      <c r="Q17" s="285">
        <f t="shared" si="0"/>
        <v>244703.8</v>
      </c>
      <c r="R17" s="275"/>
      <c r="S17" s="170"/>
      <c r="T17" s="176"/>
    </row>
    <row r="18" spans="2:20" ht="16.5" customHeight="1">
      <c r="B18" s="458"/>
      <c r="C18" s="290" t="s">
        <v>142</v>
      </c>
      <c r="D18" s="295">
        <v>7321</v>
      </c>
      <c r="E18" s="246">
        <v>15748.9</v>
      </c>
      <c r="F18" s="246">
        <v>45673</v>
      </c>
      <c r="G18" s="246">
        <v>86821</v>
      </c>
      <c r="H18" s="246">
        <v>9215.7000000000007</v>
      </c>
      <c r="I18" s="246">
        <v>5009.1000000000004</v>
      </c>
      <c r="J18" s="246">
        <v>40248.199999999997</v>
      </c>
      <c r="K18" s="264">
        <v>37603.5</v>
      </c>
      <c r="L18" s="270">
        <v>6998.5</v>
      </c>
      <c r="M18" s="247">
        <v>2305</v>
      </c>
      <c r="N18" s="247">
        <v>2889.5</v>
      </c>
      <c r="O18" s="247">
        <v>1879.5</v>
      </c>
      <c r="P18" s="280">
        <v>229.5</v>
      </c>
      <c r="Q18" s="285">
        <f t="shared" si="0"/>
        <v>261942.40000000002</v>
      </c>
      <c r="R18" s="275"/>
      <c r="S18" s="170"/>
      <c r="T18" s="176"/>
    </row>
    <row r="19" spans="2:20" ht="16.5" customHeight="1">
      <c r="B19" s="458"/>
      <c r="C19" s="291" t="s">
        <v>112</v>
      </c>
      <c r="D19" s="271">
        <f>D15/D16-1</f>
        <v>-1.4189693801344272E-2</v>
      </c>
      <c r="E19" s="248">
        <f t="shared" ref="E19:P19" si="1">E15/E16-1</f>
        <v>0.25390869293308316</v>
      </c>
      <c r="F19" s="248">
        <f t="shared" si="1"/>
        <v>0.12545906883070734</v>
      </c>
      <c r="G19" s="248">
        <f t="shared" si="1"/>
        <v>0.36283333333333334</v>
      </c>
      <c r="H19" s="248">
        <f t="shared" si="1"/>
        <v>0.27568366592756832</v>
      </c>
      <c r="I19" s="248">
        <f t="shared" si="1"/>
        <v>0.10400000000000009</v>
      </c>
      <c r="J19" s="248">
        <f t="shared" si="1"/>
        <v>0.11689340906089019</v>
      </c>
      <c r="K19" s="265">
        <f t="shared" si="1"/>
        <v>0.35653211374030613</v>
      </c>
      <c r="L19" s="271">
        <f t="shared" si="1"/>
        <v>0.17165546731826509</v>
      </c>
      <c r="M19" s="248">
        <f t="shared" si="1"/>
        <v>9.011627906976738E-2</v>
      </c>
      <c r="N19" s="248">
        <f t="shared" si="1"/>
        <v>0.21682242990654199</v>
      </c>
      <c r="O19" s="248">
        <f t="shared" si="1"/>
        <v>7.0615034168564961E-2</v>
      </c>
      <c r="P19" s="281">
        <f t="shared" si="1"/>
        <v>0.12280701754385959</v>
      </c>
      <c r="Q19" s="286">
        <f>Q15/Q16-1</f>
        <v>0.22993798158240941</v>
      </c>
      <c r="R19" s="274"/>
      <c r="S19" s="170"/>
    </row>
    <row r="20" spans="2:20" ht="16.5" customHeight="1">
      <c r="B20" s="458"/>
      <c r="C20" s="291" t="s">
        <v>168</v>
      </c>
      <c r="D20" s="271">
        <f>D15/D17-1</f>
        <v>-8.8601892176002339E-3</v>
      </c>
      <c r="E20" s="248">
        <f t="shared" ref="E20:P20" si="2">E15/E17-1</f>
        <v>0.25825237844215176</v>
      </c>
      <c r="F20" s="248">
        <f t="shared" si="2"/>
        <v>6.4545047064096917E-2</v>
      </c>
      <c r="G20" s="248">
        <f t="shared" si="2"/>
        <v>5.9238053292226311E-2</v>
      </c>
      <c r="H20" s="248">
        <f t="shared" si="2"/>
        <v>4.906155791111555E-2</v>
      </c>
      <c r="I20" s="248">
        <f t="shared" si="2"/>
        <v>-0.18635913400311299</v>
      </c>
      <c r="J20" s="248">
        <f t="shared" si="2"/>
        <v>7.4694850717056394E-2</v>
      </c>
      <c r="K20" s="265">
        <f t="shared" si="2"/>
        <v>4.7057740123400027E-2</v>
      </c>
      <c r="L20" s="271">
        <f t="shared" si="2"/>
        <v>0.20598591549295775</v>
      </c>
      <c r="M20" s="248">
        <f t="shared" si="2"/>
        <v>-0.14578587699316625</v>
      </c>
      <c r="N20" s="248">
        <f t="shared" si="2"/>
        <v>-5.129699795977849E-2</v>
      </c>
      <c r="O20" s="248">
        <f t="shared" si="2"/>
        <v>0.14188532555879485</v>
      </c>
      <c r="P20" s="281">
        <f t="shared" si="2"/>
        <v>0.17647058823529416</v>
      </c>
      <c r="Q20" s="286">
        <f>Q15/Q17-1</f>
        <v>6.9783141904621093E-2</v>
      </c>
      <c r="R20" s="274"/>
      <c r="S20" s="170"/>
    </row>
    <row r="21" spans="2:20" ht="16.5" customHeight="1" thickBot="1">
      <c r="B21" s="459"/>
      <c r="C21" s="292" t="s">
        <v>169</v>
      </c>
      <c r="D21" s="272">
        <f>D15/D18-1</f>
        <v>-9.848381368665482E-2</v>
      </c>
      <c r="E21" s="249">
        <f t="shared" ref="E21:P21" si="3">E15/E18-1</f>
        <v>0.27310478827092699</v>
      </c>
      <c r="F21" s="249">
        <f t="shared" si="3"/>
        <v>4.0001751581897338E-2</v>
      </c>
      <c r="G21" s="249">
        <f t="shared" si="3"/>
        <v>-5.8177169118070471E-2</v>
      </c>
      <c r="H21" s="249">
        <f t="shared" si="3"/>
        <v>-6.3554586195297191E-2</v>
      </c>
      <c r="I21" s="249">
        <f t="shared" si="3"/>
        <v>-0.31125351859615502</v>
      </c>
      <c r="J21" s="249">
        <f t="shared" si="3"/>
        <v>5.0481760675011644E-2</v>
      </c>
      <c r="K21" s="266">
        <f t="shared" si="3"/>
        <v>-9.2903586102357494E-2</v>
      </c>
      <c r="L21" s="272">
        <f t="shared" si="3"/>
        <v>0.37029363435021789</v>
      </c>
      <c r="M21" s="249">
        <f t="shared" si="3"/>
        <v>-0.18655097613882865</v>
      </c>
      <c r="N21" s="249">
        <f t="shared" si="3"/>
        <v>0.12649247274614983</v>
      </c>
      <c r="O21" s="249">
        <f t="shared" si="3"/>
        <v>0.25033253524873644</v>
      </c>
      <c r="P21" s="282">
        <f t="shared" si="3"/>
        <v>0.39433551198257089</v>
      </c>
      <c r="Q21" s="287">
        <f>Q15/Q18-1</f>
        <v>-6.1998362998894052E-4</v>
      </c>
      <c r="R21" s="275"/>
      <c r="S21" s="170"/>
    </row>
    <row r="22" spans="2:20" ht="15.65" customHeight="1">
      <c r="B22" s="457" t="s">
        <v>153</v>
      </c>
      <c r="C22" s="331" t="s">
        <v>155</v>
      </c>
      <c r="D22" s="332">
        <v>1060</v>
      </c>
      <c r="E22" s="333">
        <v>400</v>
      </c>
      <c r="F22" s="333">
        <v>22200</v>
      </c>
      <c r="G22" s="333">
        <v>8000</v>
      </c>
      <c r="H22" s="333">
        <v>160</v>
      </c>
      <c r="I22" s="333">
        <v>0</v>
      </c>
      <c r="J22" s="333">
        <v>4900</v>
      </c>
      <c r="K22" s="334">
        <v>1120</v>
      </c>
      <c r="L22" s="335">
        <v>15805</v>
      </c>
      <c r="M22" s="336">
        <v>7150</v>
      </c>
      <c r="N22" s="336">
        <v>4765</v>
      </c>
      <c r="O22" s="336">
        <v>60</v>
      </c>
      <c r="P22" s="337">
        <v>185</v>
      </c>
      <c r="Q22" s="330">
        <f>SUM(D22:P22)</f>
        <v>65805</v>
      </c>
      <c r="R22" s="274"/>
      <c r="S22" s="170"/>
      <c r="T22" s="176"/>
    </row>
    <row r="23" spans="2:20" ht="15.65" customHeight="1">
      <c r="B23" s="458"/>
      <c r="C23" s="289" t="s">
        <v>144</v>
      </c>
      <c r="D23" s="295">
        <v>1390</v>
      </c>
      <c r="E23" s="246">
        <v>305</v>
      </c>
      <c r="F23" s="246">
        <v>25630</v>
      </c>
      <c r="G23" s="246">
        <v>9945</v>
      </c>
      <c r="H23" s="246">
        <v>160</v>
      </c>
      <c r="I23" s="246">
        <v>10</v>
      </c>
      <c r="J23" s="246">
        <v>6650</v>
      </c>
      <c r="K23" s="264">
        <v>1605</v>
      </c>
      <c r="L23" s="270">
        <v>16940</v>
      </c>
      <c r="M23" s="247">
        <v>8555</v>
      </c>
      <c r="N23" s="247">
        <v>4730</v>
      </c>
      <c r="O23" s="247">
        <v>35</v>
      </c>
      <c r="P23" s="280">
        <v>230</v>
      </c>
      <c r="Q23" s="285">
        <f t="shared" ref="Q23:Q25" si="4">SUM(D23:P23)</f>
        <v>76185</v>
      </c>
      <c r="R23" s="275"/>
      <c r="S23" s="170"/>
      <c r="T23" s="176"/>
    </row>
    <row r="24" spans="2:20" ht="17.149999999999999" customHeight="1">
      <c r="B24" s="458"/>
      <c r="C24" s="290" t="s">
        <v>141</v>
      </c>
      <c r="D24" s="295">
        <v>1588</v>
      </c>
      <c r="E24" s="246">
        <v>454</v>
      </c>
      <c r="F24" s="246">
        <v>29481</v>
      </c>
      <c r="G24" s="246">
        <v>10612</v>
      </c>
      <c r="H24" s="246">
        <v>130</v>
      </c>
      <c r="I24" s="246">
        <v>24</v>
      </c>
      <c r="J24" s="246">
        <v>7538.4</v>
      </c>
      <c r="K24" s="264">
        <v>1585</v>
      </c>
      <c r="L24" s="270">
        <v>20016</v>
      </c>
      <c r="M24" s="247">
        <v>8424</v>
      </c>
      <c r="N24" s="247">
        <v>5480</v>
      </c>
      <c r="O24" s="247">
        <v>50</v>
      </c>
      <c r="P24" s="280">
        <v>267</v>
      </c>
      <c r="Q24" s="285">
        <f t="shared" si="4"/>
        <v>85649.4</v>
      </c>
      <c r="R24" s="276"/>
      <c r="S24" s="170"/>
    </row>
    <row r="25" spans="2:20" ht="17.149999999999999" customHeight="1">
      <c r="B25" s="458"/>
      <c r="C25" s="290" t="s">
        <v>142</v>
      </c>
      <c r="D25" s="295">
        <v>2198</v>
      </c>
      <c r="E25" s="246">
        <v>447</v>
      </c>
      <c r="F25" s="246">
        <v>36538</v>
      </c>
      <c r="G25" s="246">
        <v>12964</v>
      </c>
      <c r="H25" s="246">
        <v>214</v>
      </c>
      <c r="I25" s="246">
        <v>28.5</v>
      </c>
      <c r="J25" s="246">
        <v>9573.2000000000007</v>
      </c>
      <c r="K25" s="264">
        <v>2213.5</v>
      </c>
      <c r="L25" s="270">
        <v>24874</v>
      </c>
      <c r="M25" s="247">
        <v>10416</v>
      </c>
      <c r="N25" s="247">
        <v>7661</v>
      </c>
      <c r="O25" s="247">
        <v>62</v>
      </c>
      <c r="P25" s="280">
        <v>393</v>
      </c>
      <c r="Q25" s="285">
        <f t="shared" si="4"/>
        <v>107582.2</v>
      </c>
      <c r="R25" s="276"/>
      <c r="S25" s="170"/>
    </row>
    <row r="26" spans="2:20" ht="17.149999999999999" customHeight="1">
      <c r="B26" s="458"/>
      <c r="C26" s="291" t="s">
        <v>112</v>
      </c>
      <c r="D26" s="271">
        <f>D22/D23-1</f>
        <v>-0.23741007194244601</v>
      </c>
      <c r="E26" s="248">
        <f t="shared" ref="E26:P26" si="5">E22/E23-1</f>
        <v>0.31147540983606548</v>
      </c>
      <c r="F26" s="248">
        <f t="shared" si="5"/>
        <v>-0.13382754584471324</v>
      </c>
      <c r="G26" s="248">
        <f t="shared" si="5"/>
        <v>-0.19557566616390143</v>
      </c>
      <c r="H26" s="248">
        <f t="shared" si="5"/>
        <v>0</v>
      </c>
      <c r="I26" s="248">
        <f t="shared" si="5"/>
        <v>-1</v>
      </c>
      <c r="J26" s="248">
        <f t="shared" si="5"/>
        <v>-0.26315789473684215</v>
      </c>
      <c r="K26" s="265">
        <f t="shared" si="5"/>
        <v>-0.30218068535825549</v>
      </c>
      <c r="L26" s="271">
        <f t="shared" si="5"/>
        <v>-6.7001180637544233E-2</v>
      </c>
      <c r="M26" s="248">
        <f t="shared" si="5"/>
        <v>-0.16423144360023378</v>
      </c>
      <c r="N26" s="248">
        <f t="shared" si="5"/>
        <v>7.3995771670190003E-3</v>
      </c>
      <c r="O26" s="248">
        <f t="shared" si="5"/>
        <v>0.71428571428571419</v>
      </c>
      <c r="P26" s="281">
        <f t="shared" si="5"/>
        <v>-0.19565217391304346</v>
      </c>
      <c r="Q26" s="286">
        <f>Q22/Q23-1</f>
        <v>-0.13624729277416814</v>
      </c>
      <c r="R26" s="276"/>
      <c r="S26" s="170"/>
    </row>
    <row r="27" spans="2:20" ht="17.149999999999999" customHeight="1">
      <c r="B27" s="458"/>
      <c r="C27" s="291" t="s">
        <v>168</v>
      </c>
      <c r="D27" s="271">
        <f>D22/D24-1</f>
        <v>-0.33249370277078083</v>
      </c>
      <c r="E27" s="248">
        <f t="shared" ref="E27:P27" si="6">E22/E24-1</f>
        <v>-0.11894273127753308</v>
      </c>
      <c r="F27" s="248">
        <f t="shared" si="6"/>
        <v>-0.24697262643736639</v>
      </c>
      <c r="G27" s="248">
        <f t="shared" si="6"/>
        <v>-0.2461364493026762</v>
      </c>
      <c r="H27" s="248">
        <f t="shared" si="6"/>
        <v>0.23076923076923084</v>
      </c>
      <c r="I27" s="248">
        <f t="shared" si="6"/>
        <v>-1</v>
      </c>
      <c r="J27" s="248">
        <f t="shared" si="6"/>
        <v>-0.34999469383423532</v>
      </c>
      <c r="K27" s="265">
        <f t="shared" si="6"/>
        <v>-0.29337539432176651</v>
      </c>
      <c r="L27" s="271">
        <f t="shared" si="6"/>
        <v>-0.21038169464428458</v>
      </c>
      <c r="M27" s="248">
        <f t="shared" si="6"/>
        <v>-0.15123456790123457</v>
      </c>
      <c r="N27" s="248">
        <f t="shared" si="6"/>
        <v>-0.13047445255474455</v>
      </c>
      <c r="O27" s="248">
        <f t="shared" si="6"/>
        <v>0.19999999999999996</v>
      </c>
      <c r="P27" s="281">
        <f t="shared" si="6"/>
        <v>-0.30711610486891383</v>
      </c>
      <c r="Q27" s="286">
        <f>Q22/Q24-1</f>
        <v>-0.23169339189766647</v>
      </c>
      <c r="R27" s="276"/>
      <c r="S27" s="170"/>
    </row>
    <row r="28" spans="2:20" ht="13.5" customHeight="1" thickBot="1">
      <c r="B28" s="459"/>
      <c r="C28" s="292" t="s">
        <v>169</v>
      </c>
      <c r="D28" s="272">
        <f>D22/D25-1</f>
        <v>-0.51774340309372158</v>
      </c>
      <c r="E28" s="249">
        <f t="shared" ref="E28:P28" si="7">E22/E25-1</f>
        <v>-0.10514541387024612</v>
      </c>
      <c r="F28" s="249">
        <f t="shared" si="7"/>
        <v>-0.39241337785319397</v>
      </c>
      <c r="G28" s="249">
        <f t="shared" si="7"/>
        <v>-0.38290651033631595</v>
      </c>
      <c r="H28" s="249">
        <f t="shared" si="7"/>
        <v>-0.25233644859813087</v>
      </c>
      <c r="I28" s="249">
        <f t="shared" si="7"/>
        <v>-1</v>
      </c>
      <c r="J28" s="249">
        <f t="shared" si="7"/>
        <v>-0.48815443112021062</v>
      </c>
      <c r="K28" s="266">
        <f t="shared" si="7"/>
        <v>-0.49401400496950532</v>
      </c>
      <c r="L28" s="272">
        <f t="shared" si="7"/>
        <v>-0.36459757176167884</v>
      </c>
      <c r="M28" s="249">
        <f t="shared" si="7"/>
        <v>-0.31355606758832566</v>
      </c>
      <c r="N28" s="249">
        <f t="shared" si="7"/>
        <v>-0.37801853543923769</v>
      </c>
      <c r="O28" s="249">
        <f t="shared" si="7"/>
        <v>-3.2258064516129004E-2</v>
      </c>
      <c r="P28" s="282">
        <f t="shared" si="7"/>
        <v>-0.52926208651399498</v>
      </c>
      <c r="Q28" s="287">
        <f>Q22/Q25-1</f>
        <v>-0.38832818068416519</v>
      </c>
      <c r="R28" s="267"/>
      <c r="S28" s="170"/>
    </row>
    <row r="29" spans="2:20" ht="15" customHeight="1">
      <c r="B29" s="457" t="s">
        <v>96</v>
      </c>
      <c r="C29" s="331" t="s">
        <v>155</v>
      </c>
      <c r="D29" s="332">
        <v>1300</v>
      </c>
      <c r="E29" s="333">
        <v>24680</v>
      </c>
      <c r="F29" s="333">
        <v>7900</v>
      </c>
      <c r="G29" s="333">
        <v>9900</v>
      </c>
      <c r="H29" s="333">
        <v>6300</v>
      </c>
      <c r="I29" s="333">
        <v>1110</v>
      </c>
      <c r="J29" s="333">
        <v>17175</v>
      </c>
      <c r="K29" s="334">
        <v>6640</v>
      </c>
      <c r="L29" s="335">
        <v>3900</v>
      </c>
      <c r="M29" s="336">
        <v>1755</v>
      </c>
      <c r="N29" s="336">
        <v>1930</v>
      </c>
      <c r="O29" s="336">
        <v>2410</v>
      </c>
      <c r="P29" s="337">
        <v>95</v>
      </c>
      <c r="Q29" s="330">
        <f>SUM(D29:P29)</f>
        <v>85095</v>
      </c>
      <c r="R29" s="277"/>
      <c r="S29" s="170"/>
      <c r="T29" s="176"/>
    </row>
    <row r="30" spans="2:20" ht="15" customHeight="1">
      <c r="B30" s="458"/>
      <c r="C30" s="289" t="s">
        <v>144</v>
      </c>
      <c r="D30" s="295">
        <v>1710</v>
      </c>
      <c r="E30" s="246">
        <v>20720</v>
      </c>
      <c r="F30" s="246">
        <v>11140</v>
      </c>
      <c r="G30" s="246">
        <v>9735</v>
      </c>
      <c r="H30" s="246">
        <v>5005</v>
      </c>
      <c r="I30" s="246">
        <v>1225</v>
      </c>
      <c r="J30" s="246">
        <v>18015</v>
      </c>
      <c r="K30" s="264">
        <v>6105</v>
      </c>
      <c r="L30" s="270">
        <v>4830</v>
      </c>
      <c r="M30" s="247">
        <v>1900</v>
      </c>
      <c r="N30" s="247">
        <v>1490</v>
      </c>
      <c r="O30" s="247">
        <v>2200</v>
      </c>
      <c r="P30" s="280">
        <v>90</v>
      </c>
      <c r="Q30" s="285">
        <f t="shared" ref="Q30:Q32" si="8">SUM(D30:P30)</f>
        <v>84165</v>
      </c>
      <c r="R30" s="277"/>
      <c r="S30" s="170"/>
      <c r="T30" s="176"/>
    </row>
    <row r="31" spans="2:20" ht="15" customHeight="1">
      <c r="B31" s="458"/>
      <c r="C31" s="290" t="s">
        <v>141</v>
      </c>
      <c r="D31" s="295">
        <v>1772</v>
      </c>
      <c r="E31" s="246">
        <v>22027</v>
      </c>
      <c r="F31" s="246">
        <v>11502</v>
      </c>
      <c r="G31" s="246">
        <v>12633</v>
      </c>
      <c r="H31" s="246">
        <v>6187</v>
      </c>
      <c r="I31" s="246">
        <v>1268</v>
      </c>
      <c r="J31" s="246">
        <v>19359</v>
      </c>
      <c r="K31" s="264">
        <v>7421</v>
      </c>
      <c r="L31" s="270">
        <v>4937</v>
      </c>
      <c r="M31" s="247">
        <v>2038</v>
      </c>
      <c r="N31" s="247">
        <v>1531</v>
      </c>
      <c r="O31" s="247">
        <v>2160</v>
      </c>
      <c r="P31" s="280">
        <v>102</v>
      </c>
      <c r="Q31" s="285">
        <f t="shared" si="8"/>
        <v>92937</v>
      </c>
      <c r="R31" s="277"/>
      <c r="S31" s="170"/>
      <c r="T31" s="176"/>
    </row>
    <row r="32" spans="2:20" ht="15" customHeight="1">
      <c r="B32" s="458"/>
      <c r="C32" s="290" t="s">
        <v>142</v>
      </c>
      <c r="D32" s="295">
        <v>1927</v>
      </c>
      <c r="E32" s="246">
        <v>22527.5</v>
      </c>
      <c r="F32" s="246">
        <v>11300.5</v>
      </c>
      <c r="G32" s="246">
        <v>13864.5</v>
      </c>
      <c r="H32" s="246">
        <v>6979</v>
      </c>
      <c r="I32" s="246">
        <v>1211.5</v>
      </c>
      <c r="J32" s="246">
        <v>19802.5</v>
      </c>
      <c r="K32" s="264">
        <v>8167.5</v>
      </c>
      <c r="L32" s="270">
        <v>4907</v>
      </c>
      <c r="M32" s="247">
        <v>2164.5</v>
      </c>
      <c r="N32" s="247">
        <v>1400.5</v>
      </c>
      <c r="O32" s="247">
        <v>2164</v>
      </c>
      <c r="P32" s="280">
        <v>94</v>
      </c>
      <c r="Q32" s="285">
        <f t="shared" si="8"/>
        <v>96510</v>
      </c>
      <c r="R32" s="277"/>
      <c r="S32" s="170"/>
      <c r="T32" s="176"/>
    </row>
    <row r="33" spans="2:20" ht="15" customHeight="1">
      <c r="B33" s="458"/>
      <c r="C33" s="291" t="s">
        <v>112</v>
      </c>
      <c r="D33" s="271">
        <f>D29/D30-1</f>
        <v>-0.23976608187134507</v>
      </c>
      <c r="E33" s="248">
        <f t="shared" ref="E33:P33" si="9">E29/E30-1</f>
        <v>0.19111969111969107</v>
      </c>
      <c r="F33" s="248">
        <f t="shared" si="9"/>
        <v>-0.2908438061041293</v>
      </c>
      <c r="G33" s="248">
        <f t="shared" si="9"/>
        <v>1.6949152542372836E-2</v>
      </c>
      <c r="H33" s="248">
        <f t="shared" si="9"/>
        <v>0.25874125874125875</v>
      </c>
      <c r="I33" s="248">
        <f t="shared" si="9"/>
        <v>-9.3877551020408179E-2</v>
      </c>
      <c r="J33" s="248">
        <f t="shared" si="9"/>
        <v>-4.6627810158201499E-2</v>
      </c>
      <c r="K33" s="265">
        <f t="shared" si="9"/>
        <v>8.7633087633087525E-2</v>
      </c>
      <c r="L33" s="271">
        <f t="shared" si="9"/>
        <v>-0.19254658385093171</v>
      </c>
      <c r="M33" s="248">
        <f t="shared" si="9"/>
        <v>-7.6315789473684226E-2</v>
      </c>
      <c r="N33" s="248">
        <f t="shared" si="9"/>
        <v>0.29530201342281881</v>
      </c>
      <c r="O33" s="248">
        <f t="shared" si="9"/>
        <v>9.5454545454545459E-2</v>
      </c>
      <c r="P33" s="281">
        <f t="shared" si="9"/>
        <v>5.555555555555558E-2</v>
      </c>
      <c r="Q33" s="286">
        <f>Q29/Q30-1</f>
        <v>1.1049723756906049E-2</v>
      </c>
      <c r="R33" s="267"/>
      <c r="S33" s="170"/>
      <c r="T33" s="176"/>
    </row>
    <row r="34" spans="2:20" ht="15" customHeight="1">
      <c r="B34" s="458"/>
      <c r="C34" s="291" t="s">
        <v>168</v>
      </c>
      <c r="D34" s="271">
        <f>D29/D31-1</f>
        <v>-0.26636568848758468</v>
      </c>
      <c r="E34" s="248">
        <f t="shared" ref="E34:P34" si="10">E29/E31-1</f>
        <v>0.12044309256821184</v>
      </c>
      <c r="F34" s="248">
        <f t="shared" si="10"/>
        <v>-0.31316292818640235</v>
      </c>
      <c r="G34" s="248">
        <f t="shared" si="10"/>
        <v>-0.21633816195677991</v>
      </c>
      <c r="H34" s="248">
        <f t="shared" si="10"/>
        <v>1.826410214966856E-2</v>
      </c>
      <c r="I34" s="248">
        <f t="shared" si="10"/>
        <v>-0.12460567823343849</v>
      </c>
      <c r="J34" s="248">
        <f t="shared" si="10"/>
        <v>-0.11281574461490784</v>
      </c>
      <c r="K34" s="265">
        <f t="shared" si="10"/>
        <v>-0.1052418811480933</v>
      </c>
      <c r="L34" s="271">
        <f t="shared" si="10"/>
        <v>-0.21004658699615153</v>
      </c>
      <c r="M34" s="248">
        <f t="shared" si="10"/>
        <v>-0.13886162904808641</v>
      </c>
      <c r="N34" s="248">
        <f t="shared" si="10"/>
        <v>0.26061397779229267</v>
      </c>
      <c r="O34" s="248">
        <f t="shared" si="10"/>
        <v>0.1157407407407407</v>
      </c>
      <c r="P34" s="281">
        <f t="shared" si="10"/>
        <v>-6.8627450980392135E-2</v>
      </c>
      <c r="Q34" s="286">
        <f>Q29/Q31-1</f>
        <v>-8.4379741114948836E-2</v>
      </c>
      <c r="R34" s="182"/>
      <c r="S34" s="170"/>
    </row>
    <row r="35" spans="2:20" ht="15" customHeight="1" thickBot="1">
      <c r="B35" s="459"/>
      <c r="C35" s="292" t="s">
        <v>169</v>
      </c>
      <c r="D35" s="272">
        <f>D29/D32-1</f>
        <v>-0.32537623248572911</v>
      </c>
      <c r="E35" s="249">
        <f t="shared" ref="E35:P35" si="11">E29/E32-1</f>
        <v>9.5549883475751773E-2</v>
      </c>
      <c r="F35" s="249">
        <f t="shared" si="11"/>
        <v>-0.30091588867749219</v>
      </c>
      <c r="G35" s="249">
        <f t="shared" si="11"/>
        <v>-0.28594612138915931</v>
      </c>
      <c r="H35" s="249">
        <f t="shared" si="11"/>
        <v>-9.7291875626880686E-2</v>
      </c>
      <c r="I35" s="249">
        <f t="shared" si="11"/>
        <v>-8.3780437474205494E-2</v>
      </c>
      <c r="J35" s="249">
        <f t="shared" si="11"/>
        <v>-0.13268526701174099</v>
      </c>
      <c r="K35" s="266">
        <f t="shared" si="11"/>
        <v>-0.18702173247627796</v>
      </c>
      <c r="L35" s="272">
        <f t="shared" si="11"/>
        <v>-0.20521703688608106</v>
      </c>
      <c r="M35" s="249">
        <f t="shared" si="11"/>
        <v>-0.18918918918918914</v>
      </c>
      <c r="N35" s="249">
        <f t="shared" si="11"/>
        <v>0.37807925740806847</v>
      </c>
      <c r="O35" s="249">
        <f t="shared" si="11"/>
        <v>0.11367837338262476</v>
      </c>
      <c r="P35" s="282">
        <f t="shared" si="11"/>
        <v>1.0638297872340496E-2</v>
      </c>
      <c r="Q35" s="287">
        <f>Q29/Q32-1</f>
        <v>-0.11827789866335092</v>
      </c>
      <c r="R35" s="276"/>
      <c r="S35" s="170"/>
    </row>
    <row r="36" spans="2:20" ht="18.649999999999999" customHeight="1">
      <c r="B36" s="457" t="s">
        <v>97</v>
      </c>
      <c r="C36" s="331" t="s">
        <v>155</v>
      </c>
      <c r="D36" s="332">
        <v>300</v>
      </c>
      <c r="E36" s="333">
        <v>830</v>
      </c>
      <c r="F36" s="333">
        <v>2900</v>
      </c>
      <c r="G36" s="333">
        <v>2700</v>
      </c>
      <c r="H36" s="333">
        <v>600</v>
      </c>
      <c r="I36" s="333">
        <v>120</v>
      </c>
      <c r="J36" s="333">
        <v>1150</v>
      </c>
      <c r="K36" s="334">
        <v>865</v>
      </c>
      <c r="L36" s="335">
        <v>750</v>
      </c>
      <c r="M36" s="336">
        <v>290</v>
      </c>
      <c r="N36" s="336">
        <v>200</v>
      </c>
      <c r="O36" s="336">
        <v>765</v>
      </c>
      <c r="P36" s="337">
        <v>55</v>
      </c>
      <c r="Q36" s="330">
        <f>SUM(D36:P36)</f>
        <v>11525</v>
      </c>
      <c r="R36" s="267"/>
      <c r="S36" s="170"/>
      <c r="T36" s="176"/>
    </row>
    <row r="37" spans="2:20" ht="14">
      <c r="B37" s="458"/>
      <c r="C37" s="289" t="s">
        <v>144</v>
      </c>
      <c r="D37" s="295">
        <v>260</v>
      </c>
      <c r="E37" s="246">
        <v>1310</v>
      </c>
      <c r="F37" s="246">
        <v>2705</v>
      </c>
      <c r="G37" s="246">
        <v>4620</v>
      </c>
      <c r="H37" s="246">
        <v>1460</v>
      </c>
      <c r="I37" s="246">
        <v>175</v>
      </c>
      <c r="J37" s="246">
        <v>1780</v>
      </c>
      <c r="K37" s="264">
        <v>1495</v>
      </c>
      <c r="L37" s="270">
        <v>955</v>
      </c>
      <c r="M37" s="247">
        <v>470</v>
      </c>
      <c r="N37" s="247">
        <v>185</v>
      </c>
      <c r="O37" s="247">
        <v>760</v>
      </c>
      <c r="P37" s="280">
        <v>25</v>
      </c>
      <c r="Q37" s="285">
        <f t="shared" ref="Q37:Q39" si="12">SUM(D37:P37)</f>
        <v>16200</v>
      </c>
      <c r="R37" s="276"/>
      <c r="S37" s="170"/>
      <c r="T37" s="176"/>
    </row>
    <row r="38" spans="2:20" ht="14">
      <c r="B38" s="458"/>
      <c r="C38" s="290" t="s">
        <v>141</v>
      </c>
      <c r="D38" s="295">
        <v>248</v>
      </c>
      <c r="E38" s="246">
        <v>1178</v>
      </c>
      <c r="F38" s="246">
        <v>2182</v>
      </c>
      <c r="G38" s="246">
        <v>3046</v>
      </c>
      <c r="H38" s="246">
        <v>833</v>
      </c>
      <c r="I38" s="246">
        <v>115</v>
      </c>
      <c r="J38" s="246">
        <v>1344</v>
      </c>
      <c r="K38" s="264">
        <v>1164</v>
      </c>
      <c r="L38" s="270">
        <v>906</v>
      </c>
      <c r="M38" s="247">
        <v>614</v>
      </c>
      <c r="N38" s="247">
        <v>262</v>
      </c>
      <c r="O38" s="247">
        <v>727</v>
      </c>
      <c r="P38" s="280">
        <v>24</v>
      </c>
      <c r="Q38" s="285">
        <f t="shared" si="12"/>
        <v>12643</v>
      </c>
      <c r="R38" s="276"/>
      <c r="S38" s="170"/>
      <c r="T38" s="176"/>
    </row>
    <row r="39" spans="2:20" ht="14">
      <c r="B39" s="458"/>
      <c r="C39" s="290" t="s">
        <v>142</v>
      </c>
      <c r="D39" s="295">
        <v>180.5</v>
      </c>
      <c r="E39" s="246">
        <v>1219</v>
      </c>
      <c r="F39" s="246">
        <v>1500.5</v>
      </c>
      <c r="G39" s="246">
        <v>2263</v>
      </c>
      <c r="H39" s="246">
        <v>686</v>
      </c>
      <c r="I39" s="246">
        <v>73.5</v>
      </c>
      <c r="J39" s="246">
        <v>993.5</v>
      </c>
      <c r="K39" s="264">
        <v>770.5</v>
      </c>
      <c r="L39" s="270">
        <v>607.5</v>
      </c>
      <c r="M39" s="247">
        <v>560.5</v>
      </c>
      <c r="N39" s="247">
        <v>231.5</v>
      </c>
      <c r="O39" s="247">
        <v>813.5</v>
      </c>
      <c r="P39" s="280">
        <v>25</v>
      </c>
      <c r="Q39" s="285">
        <f t="shared" si="12"/>
        <v>9924.5</v>
      </c>
      <c r="R39" s="276"/>
      <c r="S39" s="170"/>
      <c r="T39" s="176"/>
    </row>
    <row r="40" spans="2:20" ht="14">
      <c r="B40" s="458"/>
      <c r="C40" s="291" t="s">
        <v>112</v>
      </c>
      <c r="D40" s="271">
        <f>D36/D37-1</f>
        <v>0.15384615384615374</v>
      </c>
      <c r="E40" s="248">
        <f t="shared" ref="E40:P40" si="13">E36/E37-1</f>
        <v>-0.36641221374045807</v>
      </c>
      <c r="F40" s="248">
        <f t="shared" si="13"/>
        <v>7.2088724584103536E-2</v>
      </c>
      <c r="G40" s="248">
        <f t="shared" si="13"/>
        <v>-0.41558441558441561</v>
      </c>
      <c r="H40" s="248">
        <f t="shared" si="13"/>
        <v>-0.58904109589041098</v>
      </c>
      <c r="I40" s="248">
        <f t="shared" si="13"/>
        <v>-0.31428571428571428</v>
      </c>
      <c r="J40" s="248">
        <f t="shared" si="13"/>
        <v>-0.3539325842696629</v>
      </c>
      <c r="K40" s="265">
        <f t="shared" si="13"/>
        <v>-0.42140468227424754</v>
      </c>
      <c r="L40" s="271">
        <f t="shared" si="13"/>
        <v>-0.21465968586387429</v>
      </c>
      <c r="M40" s="248">
        <f t="shared" si="13"/>
        <v>-0.38297872340425532</v>
      </c>
      <c r="N40" s="248">
        <f t="shared" si="13"/>
        <v>8.1081081081081141E-2</v>
      </c>
      <c r="O40" s="248">
        <f t="shared" si="13"/>
        <v>6.5789473684210176E-3</v>
      </c>
      <c r="P40" s="281">
        <f t="shared" si="13"/>
        <v>1.2000000000000002</v>
      </c>
      <c r="Q40" s="286">
        <f>Q36/Q37-1</f>
        <v>-0.2885802469135802</v>
      </c>
      <c r="R40" s="276"/>
      <c r="S40" s="170"/>
      <c r="T40" s="176"/>
    </row>
    <row r="41" spans="2:20" ht="22" customHeight="1">
      <c r="B41" s="458"/>
      <c r="C41" s="291" t="s">
        <v>168</v>
      </c>
      <c r="D41" s="271">
        <f>D36/D38-1</f>
        <v>0.20967741935483875</v>
      </c>
      <c r="E41" s="248">
        <f t="shared" ref="E41:P41" si="14">E36/E38-1</f>
        <v>-0.29541595925297115</v>
      </c>
      <c r="F41" s="248">
        <f t="shared" si="14"/>
        <v>0.32905591200733264</v>
      </c>
      <c r="G41" s="248">
        <f t="shared" si="14"/>
        <v>-0.11359159553512799</v>
      </c>
      <c r="H41" s="248">
        <f t="shared" si="14"/>
        <v>-0.27971188475390152</v>
      </c>
      <c r="I41" s="248">
        <f t="shared" si="14"/>
        <v>4.3478260869565188E-2</v>
      </c>
      <c r="J41" s="248">
        <f t="shared" si="14"/>
        <v>-0.14434523809523814</v>
      </c>
      <c r="K41" s="265">
        <f t="shared" si="14"/>
        <v>-0.25687285223367695</v>
      </c>
      <c r="L41" s="271">
        <f t="shared" si="14"/>
        <v>-0.17218543046357615</v>
      </c>
      <c r="M41" s="248">
        <f t="shared" si="14"/>
        <v>-0.52768729641693812</v>
      </c>
      <c r="N41" s="248">
        <f t="shared" si="14"/>
        <v>-0.23664122137404575</v>
      </c>
      <c r="O41" s="248">
        <f t="shared" si="14"/>
        <v>5.2269601100412677E-2</v>
      </c>
      <c r="P41" s="281">
        <f t="shared" si="14"/>
        <v>1.2916666666666665</v>
      </c>
      <c r="Q41" s="286">
        <f>Q36/Q38-1</f>
        <v>-8.8428379340346419E-2</v>
      </c>
      <c r="R41" s="267"/>
      <c r="S41" s="170"/>
    </row>
    <row r="42" spans="2:20" ht="17.5" customHeight="1" thickBot="1">
      <c r="B42" s="459"/>
      <c r="C42" s="292" t="s">
        <v>169</v>
      </c>
      <c r="D42" s="272">
        <f>D36/D39-1</f>
        <v>0.66204986149584477</v>
      </c>
      <c r="E42" s="249">
        <f t="shared" ref="E42:P42" si="15">E36/E39-1</f>
        <v>-0.3191140278917145</v>
      </c>
      <c r="F42" s="249">
        <f t="shared" si="15"/>
        <v>0.93268910363212254</v>
      </c>
      <c r="G42" s="249">
        <f t="shared" si="15"/>
        <v>0.19310649580203276</v>
      </c>
      <c r="H42" s="249">
        <f t="shared" si="15"/>
        <v>-0.12536443148688048</v>
      </c>
      <c r="I42" s="249">
        <f t="shared" si="15"/>
        <v>0.63265306122448983</v>
      </c>
      <c r="J42" s="249">
        <f t="shared" si="15"/>
        <v>0.1575239053850026</v>
      </c>
      <c r="K42" s="266">
        <f t="shared" si="15"/>
        <v>0.12264763140817658</v>
      </c>
      <c r="L42" s="272">
        <f t="shared" si="15"/>
        <v>0.23456790123456783</v>
      </c>
      <c r="M42" s="249">
        <f t="shared" si="15"/>
        <v>-0.48260481712756464</v>
      </c>
      <c r="N42" s="249">
        <f t="shared" si="15"/>
        <v>-0.13606911447084236</v>
      </c>
      <c r="O42" s="249">
        <f t="shared" si="15"/>
        <v>-5.9618930547019056E-2</v>
      </c>
      <c r="P42" s="282">
        <f t="shared" si="15"/>
        <v>1.2000000000000002</v>
      </c>
      <c r="Q42" s="287">
        <f>Q36/Q39-1</f>
        <v>0.16126757015466775</v>
      </c>
      <c r="R42" s="277"/>
      <c r="S42" s="170"/>
    </row>
    <row r="43" spans="2:20" ht="17.149999999999999" customHeight="1">
      <c r="B43" s="457" t="s">
        <v>182</v>
      </c>
      <c r="C43" s="331" t="s">
        <v>155</v>
      </c>
      <c r="D43" s="332">
        <v>3554</v>
      </c>
      <c r="E43" s="333">
        <v>550</v>
      </c>
      <c r="F43" s="333">
        <v>15457</v>
      </c>
      <c r="G43" s="333">
        <v>32570</v>
      </c>
      <c r="H43" s="333">
        <v>1380</v>
      </c>
      <c r="I43" s="333">
        <v>16100</v>
      </c>
      <c r="J43" s="333">
        <v>6080</v>
      </c>
      <c r="K43" s="334">
        <v>14060</v>
      </c>
      <c r="L43" s="335">
        <v>645</v>
      </c>
      <c r="M43" s="336">
        <v>275</v>
      </c>
      <c r="N43" s="336">
        <v>30</v>
      </c>
      <c r="O43" s="336">
        <v>5</v>
      </c>
      <c r="P43" s="337">
        <v>2</v>
      </c>
      <c r="Q43" s="330">
        <f>SUM(D43:P43)</f>
        <v>90708</v>
      </c>
      <c r="R43" s="182"/>
      <c r="S43" s="170"/>
      <c r="T43" s="176"/>
    </row>
    <row r="44" spans="2:20" ht="17.149999999999999" customHeight="1">
      <c r="B44" s="458"/>
      <c r="C44" s="289" t="s">
        <v>144</v>
      </c>
      <c r="D44" s="295">
        <v>2146</v>
      </c>
      <c r="E44" s="246">
        <v>550</v>
      </c>
      <c r="F44" s="246">
        <v>12665</v>
      </c>
      <c r="G44" s="246">
        <v>32203</v>
      </c>
      <c r="H44" s="246">
        <v>1445</v>
      </c>
      <c r="I44" s="246">
        <v>15560</v>
      </c>
      <c r="J44" s="246">
        <v>5235</v>
      </c>
      <c r="K44" s="264">
        <v>12152</v>
      </c>
      <c r="L44" s="270">
        <v>225</v>
      </c>
      <c r="M44" s="247">
        <v>235</v>
      </c>
      <c r="N44" s="247">
        <v>55</v>
      </c>
      <c r="O44" s="247">
        <v>0</v>
      </c>
      <c r="P44" s="280">
        <v>20</v>
      </c>
      <c r="Q44" s="285">
        <f t="shared" ref="Q44:Q46" si="16">SUM(D44:P44)</f>
        <v>82491</v>
      </c>
      <c r="R44" s="182"/>
      <c r="S44" s="170"/>
      <c r="T44" s="176"/>
    </row>
    <row r="45" spans="2:20" ht="17.149999999999999" customHeight="1">
      <c r="B45" s="458"/>
      <c r="C45" s="290" t="s">
        <v>141</v>
      </c>
      <c r="D45" s="295">
        <v>2091</v>
      </c>
      <c r="E45" s="246">
        <v>278.60000000000002</v>
      </c>
      <c r="F45" s="246">
        <v>11996.6</v>
      </c>
      <c r="G45" s="246">
        <v>28290.400000000001</v>
      </c>
      <c r="H45" s="246">
        <v>1220.5999999999999</v>
      </c>
      <c r="I45" s="246">
        <v>16199</v>
      </c>
      <c r="J45" s="246">
        <v>4537.3999999999996</v>
      </c>
      <c r="K45" s="264">
        <v>9899</v>
      </c>
      <c r="L45" s="270">
        <v>269.8</v>
      </c>
      <c r="M45" s="247">
        <v>264.8</v>
      </c>
      <c r="N45" s="247">
        <v>68.400000000000006</v>
      </c>
      <c r="O45" s="247">
        <v>0</v>
      </c>
      <c r="P45" s="280">
        <v>33.799999999999997</v>
      </c>
      <c r="Q45" s="285">
        <f t="shared" si="16"/>
        <v>75149.400000000009</v>
      </c>
      <c r="R45" s="182"/>
      <c r="S45" s="170"/>
      <c r="T45" s="176"/>
    </row>
    <row r="46" spans="2:20" ht="17.149999999999999" customHeight="1">
      <c r="B46" s="458"/>
      <c r="C46" s="290" t="s">
        <v>142</v>
      </c>
      <c r="D46" s="295">
        <v>2663.6</v>
      </c>
      <c r="E46" s="246">
        <v>265.5</v>
      </c>
      <c r="F46" s="246">
        <v>13460.1</v>
      </c>
      <c r="G46" s="246">
        <v>30494.1</v>
      </c>
      <c r="H46" s="246">
        <v>1438.5</v>
      </c>
      <c r="I46" s="246">
        <v>17842.900000000001</v>
      </c>
      <c r="J46" s="246">
        <v>5053</v>
      </c>
      <c r="K46" s="264">
        <v>10083.1</v>
      </c>
      <c r="L46" s="270">
        <v>362</v>
      </c>
      <c r="M46" s="247">
        <v>295.89999999999998</v>
      </c>
      <c r="N46" s="247">
        <v>90.8</v>
      </c>
      <c r="O46" s="247">
        <v>0</v>
      </c>
      <c r="P46" s="280">
        <v>31.6</v>
      </c>
      <c r="Q46" s="285">
        <f t="shared" si="16"/>
        <v>82081.10000000002</v>
      </c>
      <c r="R46" s="182"/>
      <c r="S46" s="170"/>
      <c r="T46" s="176"/>
    </row>
    <row r="47" spans="2:20" ht="15" customHeight="1">
      <c r="B47" s="458"/>
      <c r="C47" s="291" t="s">
        <v>112</v>
      </c>
      <c r="D47" s="271">
        <f>D43/D44-1</f>
        <v>0.65610438024231121</v>
      </c>
      <c r="E47" s="248">
        <f t="shared" ref="E47:P47" si="17">E43/E44-1</f>
        <v>0</v>
      </c>
      <c r="F47" s="248">
        <f t="shared" si="17"/>
        <v>0.22045005921831828</v>
      </c>
      <c r="G47" s="248">
        <f t="shared" si="17"/>
        <v>1.139645374654541E-2</v>
      </c>
      <c r="H47" s="248">
        <f t="shared" si="17"/>
        <v>-4.4982698961937739E-2</v>
      </c>
      <c r="I47" s="248">
        <f t="shared" si="17"/>
        <v>3.470437017994854E-2</v>
      </c>
      <c r="J47" s="248">
        <f t="shared" si="17"/>
        <v>0.16141356255969441</v>
      </c>
      <c r="K47" s="265">
        <f t="shared" si="17"/>
        <v>0.1570111915734036</v>
      </c>
      <c r="L47" s="271">
        <f t="shared" si="17"/>
        <v>1.8666666666666667</v>
      </c>
      <c r="M47" s="248">
        <f t="shared" si="17"/>
        <v>0.17021276595744683</v>
      </c>
      <c r="N47" s="248">
        <f t="shared" si="17"/>
        <v>-0.45454545454545459</v>
      </c>
      <c r="O47" s="248"/>
      <c r="P47" s="281">
        <f t="shared" si="17"/>
        <v>-0.9</v>
      </c>
      <c r="Q47" s="286">
        <f>Q43/Q44-1</f>
        <v>9.9610866639997075E-2</v>
      </c>
      <c r="R47" s="276"/>
      <c r="S47" s="170"/>
      <c r="T47" s="176"/>
    </row>
    <row r="48" spans="2:20" ht="15" customHeight="1">
      <c r="B48" s="458"/>
      <c r="C48" s="291" t="s">
        <v>168</v>
      </c>
      <c r="D48" s="271">
        <f>D43/D45-1</f>
        <v>0.69966523194643715</v>
      </c>
      <c r="E48" s="248">
        <f t="shared" ref="E48:P48" si="18">E43/E45-1</f>
        <v>0.97415649676956195</v>
      </c>
      <c r="F48" s="248">
        <f t="shared" si="18"/>
        <v>0.28844839371155162</v>
      </c>
      <c r="G48" s="248">
        <f t="shared" si="18"/>
        <v>0.15127393037920989</v>
      </c>
      <c r="H48" s="248">
        <f t="shared" si="18"/>
        <v>0.13059151237096511</v>
      </c>
      <c r="I48" s="248">
        <f t="shared" si="18"/>
        <v>-6.1114883634791894E-3</v>
      </c>
      <c r="J48" s="248">
        <f t="shared" si="18"/>
        <v>0.33997443469828537</v>
      </c>
      <c r="K48" s="265">
        <f t="shared" si="18"/>
        <v>0.42034548944337802</v>
      </c>
      <c r="L48" s="271">
        <f t="shared" si="18"/>
        <v>1.3906597479614526</v>
      </c>
      <c r="M48" s="248">
        <f t="shared" si="18"/>
        <v>3.8519637462235634E-2</v>
      </c>
      <c r="N48" s="248">
        <f t="shared" si="18"/>
        <v>-0.56140350877192979</v>
      </c>
      <c r="O48" s="248"/>
      <c r="P48" s="281">
        <f t="shared" si="18"/>
        <v>-0.94082840236686394</v>
      </c>
      <c r="Q48" s="286">
        <f>Q43/Q45-1</f>
        <v>0.20703558511445186</v>
      </c>
      <c r="R48" s="267"/>
      <c r="S48" s="170"/>
    </row>
    <row r="49" spans="2:20" ht="15" customHeight="1" thickBot="1">
      <c r="B49" s="459"/>
      <c r="C49" s="292" t="s">
        <v>169</v>
      </c>
      <c r="D49" s="272">
        <f>D43/D46-1</f>
        <v>0.33428442709115491</v>
      </c>
      <c r="E49" s="249">
        <f t="shared" ref="E49:P49" si="19">E43/E46-1</f>
        <v>1.0715630885122409</v>
      </c>
      <c r="F49" s="249">
        <f t="shared" si="19"/>
        <v>0.14835699586184359</v>
      </c>
      <c r="G49" s="249">
        <f t="shared" si="19"/>
        <v>6.8075463778239031E-2</v>
      </c>
      <c r="H49" s="249">
        <f t="shared" si="19"/>
        <v>-4.0667361835244997E-2</v>
      </c>
      <c r="I49" s="249">
        <f t="shared" si="19"/>
        <v>-9.7680309815108557E-2</v>
      </c>
      <c r="J49" s="249">
        <f t="shared" si="19"/>
        <v>0.20324559667524245</v>
      </c>
      <c r="K49" s="266">
        <f t="shared" si="19"/>
        <v>0.39441243268439274</v>
      </c>
      <c r="L49" s="272">
        <f t="shared" si="19"/>
        <v>0.78176795580110503</v>
      </c>
      <c r="M49" s="249">
        <f t="shared" si="19"/>
        <v>-7.0631970260222943E-2</v>
      </c>
      <c r="N49" s="249">
        <f t="shared" si="19"/>
        <v>-0.66960352422907488</v>
      </c>
      <c r="O49" s="249"/>
      <c r="P49" s="282">
        <f t="shared" si="19"/>
        <v>-0.93670886075949367</v>
      </c>
      <c r="Q49" s="287">
        <f>Q43/Q46-1</f>
        <v>0.10510214897217485</v>
      </c>
      <c r="R49" s="276"/>
      <c r="S49" s="170"/>
    </row>
    <row r="50" spans="2:20" ht="18.649999999999999" customHeight="1">
      <c r="B50" s="457" t="s">
        <v>100</v>
      </c>
      <c r="C50" s="331" t="s">
        <v>155</v>
      </c>
      <c r="D50" s="332">
        <v>1576</v>
      </c>
      <c r="E50" s="333">
        <v>655</v>
      </c>
      <c r="F50" s="333">
        <v>13563</v>
      </c>
      <c r="G50" s="333">
        <v>13000</v>
      </c>
      <c r="H50" s="333">
        <v>960</v>
      </c>
      <c r="I50" s="333">
        <v>12760</v>
      </c>
      <c r="J50" s="333">
        <v>4700</v>
      </c>
      <c r="K50" s="334">
        <v>4710</v>
      </c>
      <c r="L50" s="335">
        <v>505</v>
      </c>
      <c r="M50" s="336">
        <v>105</v>
      </c>
      <c r="N50" s="336">
        <v>25</v>
      </c>
      <c r="O50" s="336">
        <v>0</v>
      </c>
      <c r="P50" s="337">
        <v>0</v>
      </c>
      <c r="Q50" s="330">
        <f>SUM(D50:P50)</f>
        <v>52559</v>
      </c>
      <c r="R50" s="277"/>
      <c r="S50" s="170"/>
      <c r="T50" s="176"/>
    </row>
    <row r="51" spans="2:20" ht="15" customHeight="1">
      <c r="B51" s="458"/>
      <c r="C51" s="289" t="s">
        <v>144</v>
      </c>
      <c r="D51" s="295">
        <v>1404</v>
      </c>
      <c r="E51" s="246">
        <v>720</v>
      </c>
      <c r="F51" s="246">
        <v>11660</v>
      </c>
      <c r="G51" s="246">
        <v>12987</v>
      </c>
      <c r="H51" s="246">
        <v>1045</v>
      </c>
      <c r="I51" s="246">
        <v>12370</v>
      </c>
      <c r="J51" s="246">
        <v>4415</v>
      </c>
      <c r="K51" s="264">
        <v>4473</v>
      </c>
      <c r="L51" s="270">
        <v>460</v>
      </c>
      <c r="M51" s="247">
        <v>60</v>
      </c>
      <c r="N51" s="247">
        <v>10</v>
      </c>
      <c r="O51" s="247">
        <v>0</v>
      </c>
      <c r="P51" s="280">
        <v>0</v>
      </c>
      <c r="Q51" s="285">
        <f t="shared" ref="Q51:Q53" si="20">SUM(D51:P51)</f>
        <v>49604</v>
      </c>
      <c r="R51" s="267"/>
      <c r="S51" s="170"/>
      <c r="T51" s="176"/>
    </row>
    <row r="52" spans="2:20" ht="15" customHeight="1">
      <c r="B52" s="458"/>
      <c r="C52" s="290" t="s">
        <v>141</v>
      </c>
      <c r="D52" s="295">
        <v>1661</v>
      </c>
      <c r="E52" s="246">
        <v>597</v>
      </c>
      <c r="F52" s="246">
        <v>11539.8</v>
      </c>
      <c r="G52" s="246">
        <v>12135</v>
      </c>
      <c r="H52" s="246">
        <v>1125.2</v>
      </c>
      <c r="I52" s="246">
        <v>12895.2</v>
      </c>
      <c r="J52" s="246">
        <v>2407</v>
      </c>
      <c r="K52" s="264">
        <v>4129.3999999999996</v>
      </c>
      <c r="L52" s="270">
        <v>488.4</v>
      </c>
      <c r="M52" s="247">
        <v>74.400000000000006</v>
      </c>
      <c r="N52" s="247">
        <v>11.8</v>
      </c>
      <c r="O52" s="247">
        <v>0</v>
      </c>
      <c r="P52" s="280">
        <v>3.4</v>
      </c>
      <c r="Q52" s="285">
        <f t="shared" si="20"/>
        <v>47067.600000000006</v>
      </c>
      <c r="R52" s="267"/>
      <c r="S52" s="170"/>
      <c r="T52" s="176"/>
    </row>
    <row r="53" spans="2:20" ht="15" customHeight="1">
      <c r="B53" s="458"/>
      <c r="C53" s="290" t="s">
        <v>142</v>
      </c>
      <c r="D53" s="295">
        <v>1635.4</v>
      </c>
      <c r="E53" s="246">
        <v>567.6</v>
      </c>
      <c r="F53" s="246">
        <v>10562.7</v>
      </c>
      <c r="G53" s="246">
        <v>12153.9</v>
      </c>
      <c r="H53" s="246">
        <v>1259.7</v>
      </c>
      <c r="I53" s="246">
        <v>13546.9</v>
      </c>
      <c r="J53" s="246">
        <v>2960.2</v>
      </c>
      <c r="K53" s="264">
        <v>3666</v>
      </c>
      <c r="L53" s="270">
        <v>470.6</v>
      </c>
      <c r="M53" s="247">
        <v>88.1</v>
      </c>
      <c r="N53" s="247">
        <v>12.7</v>
      </c>
      <c r="O53" s="247">
        <v>0</v>
      </c>
      <c r="P53" s="280">
        <v>2.4</v>
      </c>
      <c r="Q53" s="285">
        <f t="shared" si="20"/>
        <v>46926.19999999999</v>
      </c>
      <c r="R53" s="267"/>
      <c r="S53" s="170"/>
      <c r="T53" s="176"/>
    </row>
    <row r="54" spans="2:20" ht="15" customHeight="1">
      <c r="B54" s="458"/>
      <c r="C54" s="291" t="s">
        <v>112</v>
      </c>
      <c r="D54" s="271">
        <f>D50/D51-1</f>
        <v>0.12250712250712259</v>
      </c>
      <c r="E54" s="248">
        <f t="shared" ref="E54:N54" si="21">E50/E51-1</f>
        <v>-9.027777777777779E-2</v>
      </c>
      <c r="F54" s="248">
        <f t="shared" si="21"/>
        <v>0.16320754716981134</v>
      </c>
      <c r="G54" s="248">
        <f t="shared" si="21"/>
        <v>1.0010010010010895E-3</v>
      </c>
      <c r="H54" s="248">
        <f t="shared" si="21"/>
        <v>-8.1339712918660267E-2</v>
      </c>
      <c r="I54" s="248">
        <f t="shared" si="21"/>
        <v>3.1527890056588515E-2</v>
      </c>
      <c r="J54" s="248">
        <f t="shared" si="21"/>
        <v>6.4552661381653387E-2</v>
      </c>
      <c r="K54" s="265">
        <f t="shared" si="21"/>
        <v>5.2984574111334615E-2</v>
      </c>
      <c r="L54" s="271">
        <f t="shared" si="21"/>
        <v>9.7826086956521729E-2</v>
      </c>
      <c r="M54" s="248">
        <f t="shared" si="21"/>
        <v>0.75</v>
      </c>
      <c r="N54" s="248">
        <f t="shared" si="21"/>
        <v>1.5</v>
      </c>
      <c r="O54" s="248"/>
      <c r="P54" s="281"/>
      <c r="Q54" s="286">
        <f>Q50/Q51-1</f>
        <v>5.9571808725102704E-2</v>
      </c>
      <c r="R54" s="267"/>
      <c r="S54" s="170"/>
      <c r="T54" s="176"/>
    </row>
    <row r="55" spans="2:20" ht="15" customHeight="1">
      <c r="B55" s="458"/>
      <c r="C55" s="291" t="s">
        <v>139</v>
      </c>
      <c r="D55" s="271">
        <f>D50/D52-1</f>
        <v>-5.1173991571342614E-2</v>
      </c>
      <c r="E55" s="248">
        <f t="shared" ref="E55:P55" si="22">E50/E52-1</f>
        <v>9.7152428810720171E-2</v>
      </c>
      <c r="F55" s="248">
        <f t="shared" si="22"/>
        <v>0.17532366245515529</v>
      </c>
      <c r="G55" s="248">
        <f t="shared" si="22"/>
        <v>7.1281417387721424E-2</v>
      </c>
      <c r="H55" s="248">
        <f t="shared" si="22"/>
        <v>-0.14681834340561684</v>
      </c>
      <c r="I55" s="248">
        <f t="shared" si="22"/>
        <v>-1.0484521372293609E-2</v>
      </c>
      <c r="J55" s="248">
        <f t="shared" si="22"/>
        <v>0.95263813876194425</v>
      </c>
      <c r="K55" s="265">
        <f t="shared" si="22"/>
        <v>0.14060154017532822</v>
      </c>
      <c r="L55" s="271">
        <f t="shared" si="22"/>
        <v>3.3988533988533964E-2</v>
      </c>
      <c r="M55" s="248">
        <f t="shared" si="22"/>
        <v>0.41129032258064502</v>
      </c>
      <c r="N55" s="248">
        <f t="shared" si="22"/>
        <v>1.1186440677966099</v>
      </c>
      <c r="O55" s="248"/>
      <c r="P55" s="281">
        <f t="shared" si="22"/>
        <v>-1</v>
      </c>
      <c r="Q55" s="286">
        <f>Q50/Q52-1</f>
        <v>0.11667049095343707</v>
      </c>
      <c r="R55" s="182"/>
      <c r="S55" s="170"/>
    </row>
    <row r="56" spans="2:20" ht="15" customHeight="1" thickBot="1">
      <c r="B56" s="459"/>
      <c r="C56" s="292" t="s">
        <v>140</v>
      </c>
      <c r="D56" s="272">
        <f>D50/D53-1</f>
        <v>-3.6321389262565784E-2</v>
      </c>
      <c r="E56" s="249">
        <f t="shared" ref="E56:P56" si="23">E50/E53-1</f>
        <v>0.15398167723749112</v>
      </c>
      <c r="F56" s="249">
        <f t="shared" si="23"/>
        <v>0.28404669260700377</v>
      </c>
      <c r="G56" s="249">
        <f t="shared" si="23"/>
        <v>6.9615514361645259E-2</v>
      </c>
      <c r="H56" s="249">
        <f t="shared" si="23"/>
        <v>-0.23791378899738036</v>
      </c>
      <c r="I56" s="249">
        <f t="shared" si="23"/>
        <v>-5.8087090035358613E-2</v>
      </c>
      <c r="J56" s="249">
        <f t="shared" si="23"/>
        <v>0.58773055874603086</v>
      </c>
      <c r="K56" s="266">
        <f t="shared" si="23"/>
        <v>0.28477905073649756</v>
      </c>
      <c r="L56" s="272">
        <f t="shared" si="23"/>
        <v>7.3098172545686291E-2</v>
      </c>
      <c r="M56" s="249">
        <f t="shared" si="23"/>
        <v>0.19182746878547108</v>
      </c>
      <c r="N56" s="249">
        <f t="shared" si="23"/>
        <v>0.96850393700787407</v>
      </c>
      <c r="O56" s="249"/>
      <c r="P56" s="282">
        <f t="shared" si="23"/>
        <v>-1</v>
      </c>
      <c r="Q56" s="287">
        <f>Q50/Q53-1</f>
        <v>0.12003528945450537</v>
      </c>
      <c r="R56" s="277"/>
      <c r="S56" s="170"/>
    </row>
    <row r="57" spans="2:20" ht="13.5" customHeight="1">
      <c r="B57" s="457" t="s">
        <v>183</v>
      </c>
      <c r="C57" s="331" t="s">
        <v>155</v>
      </c>
      <c r="D57" s="332">
        <v>5130</v>
      </c>
      <c r="E57" s="333">
        <v>1205</v>
      </c>
      <c r="F57" s="333">
        <v>29020</v>
      </c>
      <c r="G57" s="333">
        <v>45570</v>
      </c>
      <c r="H57" s="333">
        <v>2340</v>
      </c>
      <c r="I57" s="333">
        <v>28860</v>
      </c>
      <c r="J57" s="333">
        <v>10780</v>
      </c>
      <c r="K57" s="334">
        <v>18770</v>
      </c>
      <c r="L57" s="335">
        <v>1150</v>
      </c>
      <c r="M57" s="336">
        <v>380</v>
      </c>
      <c r="N57" s="336">
        <v>55</v>
      </c>
      <c r="O57" s="336">
        <v>5</v>
      </c>
      <c r="P57" s="337">
        <v>2</v>
      </c>
      <c r="Q57" s="330">
        <f>SUM(D57:P57)</f>
        <v>143267</v>
      </c>
      <c r="R57" s="267"/>
      <c r="S57" s="170"/>
      <c r="T57" s="176"/>
    </row>
    <row r="58" spans="2:20" ht="14.5" customHeight="1">
      <c r="B58" s="458"/>
      <c r="C58" s="289" t="s">
        <v>144</v>
      </c>
      <c r="D58" s="295">
        <v>3550</v>
      </c>
      <c r="E58" s="246">
        <v>1270</v>
      </c>
      <c r="F58" s="246">
        <v>24325</v>
      </c>
      <c r="G58" s="246">
        <v>45190</v>
      </c>
      <c r="H58" s="246">
        <v>2490</v>
      </c>
      <c r="I58" s="246">
        <v>27930</v>
      </c>
      <c r="J58" s="246">
        <v>9650</v>
      </c>
      <c r="K58" s="264">
        <v>16625</v>
      </c>
      <c r="L58" s="270">
        <v>685</v>
      </c>
      <c r="M58" s="247">
        <v>295</v>
      </c>
      <c r="N58" s="247">
        <v>65</v>
      </c>
      <c r="O58" s="247">
        <v>0</v>
      </c>
      <c r="P58" s="280">
        <v>20</v>
      </c>
      <c r="Q58" s="285">
        <f t="shared" ref="Q58:Q60" si="24">SUM(D58:P58)</f>
        <v>132095</v>
      </c>
      <c r="R58" s="277"/>
      <c r="S58" s="170"/>
      <c r="T58" s="176"/>
    </row>
    <row r="59" spans="2:20" ht="14.5" customHeight="1">
      <c r="B59" s="458"/>
      <c r="C59" s="290" t="s">
        <v>141</v>
      </c>
      <c r="D59" s="295">
        <v>3752</v>
      </c>
      <c r="E59" s="246">
        <v>875.6</v>
      </c>
      <c r="F59" s="246">
        <v>23536.400000000001</v>
      </c>
      <c r="G59" s="246">
        <v>40425.4</v>
      </c>
      <c r="H59" s="246">
        <v>2345.8000000000002</v>
      </c>
      <c r="I59" s="246">
        <v>29094.2</v>
      </c>
      <c r="J59" s="246">
        <v>6944.4</v>
      </c>
      <c r="K59" s="264">
        <v>14028.4</v>
      </c>
      <c r="L59" s="270">
        <v>758.2</v>
      </c>
      <c r="M59" s="247">
        <v>339.2</v>
      </c>
      <c r="N59" s="247">
        <v>80.2</v>
      </c>
      <c r="O59" s="247">
        <v>0</v>
      </c>
      <c r="P59" s="280">
        <v>37.200000000000003</v>
      </c>
      <c r="Q59" s="285">
        <f t="shared" si="24"/>
        <v>122216.99999999997</v>
      </c>
      <c r="R59" s="277"/>
      <c r="S59" s="170"/>
      <c r="T59" s="176"/>
    </row>
    <row r="60" spans="2:20" ht="14.5" customHeight="1">
      <c r="B60" s="458"/>
      <c r="C60" s="290" t="s">
        <v>142</v>
      </c>
      <c r="D60" s="295">
        <v>4299</v>
      </c>
      <c r="E60" s="246">
        <v>833.1</v>
      </c>
      <c r="F60" s="246">
        <v>24022.799999999999</v>
      </c>
      <c r="G60" s="246">
        <v>42648</v>
      </c>
      <c r="H60" s="246">
        <v>2698.2</v>
      </c>
      <c r="I60" s="246">
        <v>31389.8</v>
      </c>
      <c r="J60" s="246">
        <v>8013.2</v>
      </c>
      <c r="K60" s="264">
        <v>13749.1</v>
      </c>
      <c r="L60" s="270">
        <v>832.6</v>
      </c>
      <c r="M60" s="247">
        <v>384</v>
      </c>
      <c r="N60" s="247">
        <v>103.5</v>
      </c>
      <c r="O60" s="247">
        <v>0</v>
      </c>
      <c r="P60" s="280">
        <v>34</v>
      </c>
      <c r="Q60" s="285">
        <f t="shared" si="24"/>
        <v>129007.3</v>
      </c>
      <c r="R60" s="277"/>
      <c r="S60" s="170"/>
      <c r="T60" s="176"/>
    </row>
    <row r="61" spans="2:20" ht="14.5" customHeight="1">
      <c r="B61" s="458"/>
      <c r="C61" s="291" t="s">
        <v>112</v>
      </c>
      <c r="D61" s="271">
        <f>D57/D58-1</f>
        <v>0.44507042253521134</v>
      </c>
      <c r="E61" s="248">
        <f t="shared" ref="E61:P61" si="25">E57/E58-1</f>
        <v>-5.1181102362204745E-2</v>
      </c>
      <c r="F61" s="248">
        <f t="shared" si="25"/>
        <v>0.19301130524152099</v>
      </c>
      <c r="G61" s="248">
        <f t="shared" si="25"/>
        <v>8.4089400309803608E-3</v>
      </c>
      <c r="H61" s="248">
        <f t="shared" si="25"/>
        <v>-6.0240963855421659E-2</v>
      </c>
      <c r="I61" s="248">
        <f t="shared" si="25"/>
        <v>3.3297529538131032E-2</v>
      </c>
      <c r="J61" s="248">
        <f t="shared" si="25"/>
        <v>0.11709844559585503</v>
      </c>
      <c r="K61" s="265">
        <f t="shared" si="25"/>
        <v>0.12902255639097748</v>
      </c>
      <c r="L61" s="271">
        <f t="shared" si="25"/>
        <v>0.67883211678832112</v>
      </c>
      <c r="M61" s="248">
        <f t="shared" si="25"/>
        <v>0.28813559322033888</v>
      </c>
      <c r="N61" s="248">
        <f t="shared" si="25"/>
        <v>-0.15384615384615385</v>
      </c>
      <c r="O61" s="248"/>
      <c r="P61" s="281">
        <f t="shared" si="25"/>
        <v>-0.9</v>
      </c>
      <c r="Q61" s="286">
        <f>Q57/Q58-1</f>
        <v>8.4575494908966986E-2</v>
      </c>
      <c r="R61" s="277"/>
      <c r="S61" s="170"/>
      <c r="T61" s="176"/>
    </row>
    <row r="62" spans="2:20" ht="14.5" customHeight="1">
      <c r="B62" s="458"/>
      <c r="C62" s="291" t="s">
        <v>168</v>
      </c>
      <c r="D62" s="271">
        <f>D57/D59-1</f>
        <v>0.36727078891257992</v>
      </c>
      <c r="E62" s="248">
        <f t="shared" ref="E62:P62" si="26">E57/E59-1</f>
        <v>0.37619917770671529</v>
      </c>
      <c r="F62" s="248">
        <f t="shared" si="26"/>
        <v>0.23298380381026829</v>
      </c>
      <c r="G62" s="248">
        <f t="shared" si="26"/>
        <v>0.12726157316934406</v>
      </c>
      <c r="H62" s="248">
        <f t="shared" si="26"/>
        <v>-2.4725040497911577E-3</v>
      </c>
      <c r="I62" s="248">
        <f t="shared" si="26"/>
        <v>-8.0497143760612788E-3</v>
      </c>
      <c r="J62" s="248">
        <f t="shared" si="26"/>
        <v>0.55232993491158355</v>
      </c>
      <c r="K62" s="265">
        <f t="shared" si="26"/>
        <v>0.33800005702717351</v>
      </c>
      <c r="L62" s="271">
        <f t="shared" si="26"/>
        <v>0.51675019783698217</v>
      </c>
      <c r="M62" s="248">
        <f t="shared" si="26"/>
        <v>0.12028301886792447</v>
      </c>
      <c r="N62" s="248">
        <f t="shared" si="26"/>
        <v>-0.31421446384039897</v>
      </c>
      <c r="O62" s="248"/>
      <c r="P62" s="281">
        <f t="shared" si="26"/>
        <v>-0.94623655913978499</v>
      </c>
      <c r="Q62" s="286">
        <f>Q57/Q59-1</f>
        <v>0.17223463184336096</v>
      </c>
      <c r="R62" s="267"/>
      <c r="S62" s="170"/>
    </row>
    <row r="63" spans="2:20" ht="14.5" customHeight="1" thickBot="1">
      <c r="B63" s="459"/>
      <c r="C63" s="292" t="s">
        <v>169</v>
      </c>
      <c r="D63" s="272">
        <f>D57/D60-1</f>
        <v>0.19330076762037685</v>
      </c>
      <c r="E63" s="249">
        <f t="shared" ref="E63:P63" si="27">E57/E60-1</f>
        <v>0.44640499339815154</v>
      </c>
      <c r="F63" s="249">
        <f t="shared" si="27"/>
        <v>0.20801904857052467</v>
      </c>
      <c r="G63" s="249">
        <f t="shared" si="27"/>
        <v>6.8514350028137327E-2</v>
      </c>
      <c r="H63" s="249">
        <f t="shared" si="27"/>
        <v>-0.13275517011340887</v>
      </c>
      <c r="I63" s="249">
        <f t="shared" si="27"/>
        <v>-8.0593058891741842E-2</v>
      </c>
      <c r="J63" s="249">
        <f t="shared" si="27"/>
        <v>0.34528028752558293</v>
      </c>
      <c r="K63" s="266">
        <f t="shared" si="27"/>
        <v>0.36518026634470613</v>
      </c>
      <c r="L63" s="272">
        <f t="shared" si="27"/>
        <v>0.38121546961325969</v>
      </c>
      <c r="M63" s="249">
        <f t="shared" si="27"/>
        <v>-1.041666666666663E-2</v>
      </c>
      <c r="N63" s="249">
        <f t="shared" si="27"/>
        <v>-0.46859903381642509</v>
      </c>
      <c r="O63" s="249"/>
      <c r="P63" s="282">
        <f t="shared" si="27"/>
        <v>-0.94117647058823528</v>
      </c>
      <c r="Q63" s="287">
        <f>Q57/Q60-1</f>
        <v>0.1105340550495979</v>
      </c>
      <c r="R63" s="182"/>
      <c r="S63" s="170"/>
    </row>
    <row r="64" spans="2:20" ht="13.5" customHeight="1">
      <c r="B64" s="457" t="s">
        <v>101</v>
      </c>
      <c r="C64" s="331" t="s">
        <v>155</v>
      </c>
      <c r="D64" s="332">
        <v>2035</v>
      </c>
      <c r="E64" s="333">
        <v>320</v>
      </c>
      <c r="F64" s="333">
        <v>1120</v>
      </c>
      <c r="G64" s="333">
        <v>4430</v>
      </c>
      <c r="H64" s="333">
        <v>660</v>
      </c>
      <c r="I64" s="333">
        <v>140</v>
      </c>
      <c r="J64" s="333">
        <v>1270</v>
      </c>
      <c r="K64" s="334">
        <v>2630</v>
      </c>
      <c r="L64" s="335">
        <v>1100</v>
      </c>
      <c r="M64" s="336">
        <v>30</v>
      </c>
      <c r="N64" s="336">
        <v>355</v>
      </c>
      <c r="O64" s="336">
        <v>0</v>
      </c>
      <c r="P64" s="337">
        <v>7</v>
      </c>
      <c r="Q64" s="330">
        <f>SUM(D64:P64)</f>
        <v>14097</v>
      </c>
      <c r="R64" s="277"/>
      <c r="S64" s="170"/>
      <c r="T64" s="176"/>
    </row>
    <row r="65" spans="2:20" ht="15" customHeight="1">
      <c r="B65" s="458"/>
      <c r="C65" s="289" t="s">
        <v>144</v>
      </c>
      <c r="D65" s="295">
        <v>2830</v>
      </c>
      <c r="E65" s="246">
        <v>300</v>
      </c>
      <c r="F65" s="246">
        <v>1590</v>
      </c>
      <c r="G65" s="246">
        <v>4760</v>
      </c>
      <c r="H65" s="246">
        <v>775</v>
      </c>
      <c r="I65" s="246">
        <v>180</v>
      </c>
      <c r="J65" s="246">
        <v>1670</v>
      </c>
      <c r="K65" s="264">
        <v>3705</v>
      </c>
      <c r="L65" s="270">
        <v>1570</v>
      </c>
      <c r="M65" s="247">
        <v>25</v>
      </c>
      <c r="N65" s="247">
        <v>360</v>
      </c>
      <c r="O65" s="247">
        <v>0</v>
      </c>
      <c r="P65" s="280">
        <v>0</v>
      </c>
      <c r="Q65" s="285">
        <f t="shared" ref="Q65:Q67" si="28">SUM(D65:P65)</f>
        <v>17765</v>
      </c>
      <c r="R65" s="267"/>
      <c r="S65" s="170"/>
      <c r="T65" s="176"/>
    </row>
    <row r="66" spans="2:20" ht="15" customHeight="1">
      <c r="B66" s="458"/>
      <c r="C66" s="290" t="s">
        <v>141</v>
      </c>
      <c r="D66" s="295">
        <v>3788</v>
      </c>
      <c r="E66" s="246">
        <v>418</v>
      </c>
      <c r="F66" s="246">
        <v>2141</v>
      </c>
      <c r="G66" s="246">
        <v>6083</v>
      </c>
      <c r="H66" s="246">
        <v>956</v>
      </c>
      <c r="I66" s="246">
        <v>203</v>
      </c>
      <c r="J66" s="246">
        <v>2104</v>
      </c>
      <c r="K66" s="264">
        <v>4781</v>
      </c>
      <c r="L66" s="270">
        <v>2149.1999999999998</v>
      </c>
      <c r="M66" s="247">
        <v>87</v>
      </c>
      <c r="N66" s="247">
        <v>463</v>
      </c>
      <c r="O66" s="247">
        <v>0</v>
      </c>
      <c r="P66" s="280">
        <v>14</v>
      </c>
      <c r="Q66" s="285">
        <f t="shared" si="28"/>
        <v>23187.200000000001</v>
      </c>
      <c r="R66" s="267"/>
      <c r="S66" s="170"/>
      <c r="T66" s="176"/>
    </row>
    <row r="67" spans="2:20" ht="15" customHeight="1">
      <c r="B67" s="458"/>
      <c r="C67" s="290" t="s">
        <v>142</v>
      </c>
      <c r="D67" s="295">
        <v>3318.8</v>
      </c>
      <c r="E67" s="246">
        <v>407.2</v>
      </c>
      <c r="F67" s="246">
        <v>1896</v>
      </c>
      <c r="G67" s="246">
        <v>5547.8</v>
      </c>
      <c r="H67" s="246">
        <v>893.5</v>
      </c>
      <c r="I67" s="246">
        <v>205.1</v>
      </c>
      <c r="J67" s="246">
        <v>1951.1</v>
      </c>
      <c r="K67" s="264">
        <v>4177.6000000000004</v>
      </c>
      <c r="L67" s="270">
        <v>1949.6</v>
      </c>
      <c r="M67" s="247">
        <v>81.7</v>
      </c>
      <c r="N67" s="247">
        <v>435</v>
      </c>
      <c r="O67" s="247">
        <v>0</v>
      </c>
      <c r="P67" s="280">
        <v>8.6</v>
      </c>
      <c r="Q67" s="285">
        <f t="shared" si="28"/>
        <v>20871.999999999996</v>
      </c>
      <c r="R67" s="267"/>
      <c r="S67" s="170"/>
      <c r="T67" s="176"/>
    </row>
    <row r="68" spans="2:20" ht="15" customHeight="1">
      <c r="B68" s="458"/>
      <c r="C68" s="291" t="s">
        <v>112</v>
      </c>
      <c r="D68" s="271">
        <v>-0.28091872791519434</v>
      </c>
      <c r="E68" s="248">
        <v>6.6666666666666652E-2</v>
      </c>
      <c r="F68" s="248">
        <v>-0.29559748427672961</v>
      </c>
      <c r="G68" s="248">
        <v>-6.9327731092436951E-2</v>
      </c>
      <c r="H68" s="248">
        <v>-0.14838709677419359</v>
      </c>
      <c r="I68" s="248">
        <v>-0.22222222222222221</v>
      </c>
      <c r="J68" s="248">
        <v>-0.23952095808383234</v>
      </c>
      <c r="K68" s="265">
        <v>-0.29014844804318485</v>
      </c>
      <c r="L68" s="271">
        <v>-0.29936305732484081</v>
      </c>
      <c r="M68" s="248">
        <v>0.19999999999999996</v>
      </c>
      <c r="N68" s="248">
        <v>-1.388888888888884E-2</v>
      </c>
      <c r="O68" s="248">
        <v>0</v>
      </c>
      <c r="P68" s="281">
        <v>0</v>
      </c>
      <c r="Q68" s="286">
        <f>Q64/Q65-1</f>
        <v>-0.20647340275823245</v>
      </c>
      <c r="R68" s="267"/>
      <c r="S68" s="170"/>
      <c r="T68" s="176"/>
    </row>
    <row r="69" spans="2:20" ht="15" customHeight="1">
      <c r="B69" s="458"/>
      <c r="C69" s="291" t="s">
        <v>168</v>
      </c>
      <c r="D69" s="271">
        <v>-0.4627771911298838</v>
      </c>
      <c r="E69" s="248">
        <v>-0.23444976076555024</v>
      </c>
      <c r="F69" s="248">
        <v>-0.47687996263428301</v>
      </c>
      <c r="G69" s="248">
        <v>-0.27174091731053751</v>
      </c>
      <c r="H69" s="248">
        <v>-0.30962343096234313</v>
      </c>
      <c r="I69" s="248">
        <v>-0.31034482758620685</v>
      </c>
      <c r="J69" s="248">
        <v>-0.39638783269961975</v>
      </c>
      <c r="K69" s="265">
        <v>-0.44990587743149968</v>
      </c>
      <c r="L69" s="271">
        <v>-0.48818164898566907</v>
      </c>
      <c r="M69" s="248">
        <v>-0.65517241379310343</v>
      </c>
      <c r="N69" s="248">
        <v>-0.23326133909287261</v>
      </c>
      <c r="O69" s="248">
        <v>0</v>
      </c>
      <c r="P69" s="281">
        <v>-0.5</v>
      </c>
      <c r="Q69" s="286">
        <f>Q64/Q66-1</f>
        <v>-0.39203526083356333</v>
      </c>
      <c r="R69" s="268"/>
      <c r="S69" s="170"/>
    </row>
    <row r="70" spans="2:20" ht="15" customHeight="1" thickBot="1">
      <c r="B70" s="459"/>
      <c r="C70" s="292" t="s">
        <v>169</v>
      </c>
      <c r="D70" s="272">
        <v>-0.38682656381824765</v>
      </c>
      <c r="E70" s="249">
        <v>-0.21414538310412568</v>
      </c>
      <c r="F70" s="249">
        <v>-0.40928270042194093</v>
      </c>
      <c r="G70" s="249">
        <v>-0.20148527344172462</v>
      </c>
      <c r="H70" s="249">
        <v>-0.26133184107442642</v>
      </c>
      <c r="I70" s="249">
        <v>-0.31740614334470985</v>
      </c>
      <c r="J70" s="249">
        <v>-0.3490851314643022</v>
      </c>
      <c r="K70" s="266">
        <v>-0.37045193412485644</v>
      </c>
      <c r="L70" s="272">
        <v>-0.43578169881001227</v>
      </c>
      <c r="M70" s="249">
        <v>-0.63280293757649941</v>
      </c>
      <c r="N70" s="249">
        <v>-0.18390804597701149</v>
      </c>
      <c r="O70" s="249">
        <v>0</v>
      </c>
      <c r="P70" s="282">
        <v>-0.18604651162790697</v>
      </c>
      <c r="Q70" s="287">
        <f>Q64/Q67-1</f>
        <v>-0.32459754695285536</v>
      </c>
      <c r="R70" s="278"/>
      <c r="S70" s="170"/>
    </row>
    <row r="71" spans="2:20" ht="15" customHeight="1">
      <c r="B71" s="457" t="s">
        <v>102</v>
      </c>
      <c r="C71" s="331" t="s">
        <v>155</v>
      </c>
      <c r="D71" s="332">
        <v>600</v>
      </c>
      <c r="E71" s="333">
        <v>90</v>
      </c>
      <c r="F71" s="333">
        <v>5400</v>
      </c>
      <c r="G71" s="333">
        <v>3600</v>
      </c>
      <c r="H71" s="333">
        <v>900</v>
      </c>
      <c r="I71" s="333">
        <v>290</v>
      </c>
      <c r="J71" s="333">
        <v>3570</v>
      </c>
      <c r="K71" s="445">
        <v>3615</v>
      </c>
      <c r="L71" s="335">
        <v>1510</v>
      </c>
      <c r="M71" s="336">
        <v>465</v>
      </c>
      <c r="N71" s="336">
        <v>385</v>
      </c>
      <c r="O71" s="336">
        <v>5</v>
      </c>
      <c r="P71" s="337">
        <v>10</v>
      </c>
      <c r="Q71" s="330">
        <f>SUM(D71:P71)</f>
        <v>20440</v>
      </c>
      <c r="R71" s="195"/>
      <c r="S71" s="170"/>
      <c r="T71" s="176"/>
    </row>
    <row r="72" spans="2:20" ht="15" customHeight="1">
      <c r="B72" s="458"/>
      <c r="C72" s="289" t="s">
        <v>144</v>
      </c>
      <c r="D72" s="295">
        <v>770</v>
      </c>
      <c r="E72" s="246">
        <v>95</v>
      </c>
      <c r="F72" s="246">
        <v>8835</v>
      </c>
      <c r="G72" s="246">
        <v>11075</v>
      </c>
      <c r="H72" s="246">
        <v>2000</v>
      </c>
      <c r="I72" s="246">
        <v>295</v>
      </c>
      <c r="J72" s="246">
        <v>4800</v>
      </c>
      <c r="K72" s="446">
        <v>8540</v>
      </c>
      <c r="L72" s="270">
        <v>1555</v>
      </c>
      <c r="M72" s="247">
        <v>290</v>
      </c>
      <c r="N72" s="247">
        <v>295</v>
      </c>
      <c r="O72" s="247">
        <v>0</v>
      </c>
      <c r="P72" s="280">
        <v>0</v>
      </c>
      <c r="Q72" s="285">
        <f t="shared" ref="Q72:Q74" si="29">SUM(D72:P72)</f>
        <v>38550</v>
      </c>
      <c r="R72" s="162"/>
      <c r="S72" s="170"/>
      <c r="T72" s="176"/>
    </row>
    <row r="73" spans="2:20" ht="15" customHeight="1">
      <c r="B73" s="458"/>
      <c r="C73" s="290" t="s">
        <v>141</v>
      </c>
      <c r="D73" s="295">
        <v>547</v>
      </c>
      <c r="E73" s="246">
        <v>105.8</v>
      </c>
      <c r="F73" s="246">
        <v>6579</v>
      </c>
      <c r="G73" s="246">
        <v>6051.2</v>
      </c>
      <c r="H73" s="246">
        <v>1052.4000000000001</v>
      </c>
      <c r="I73" s="246">
        <v>183.8</v>
      </c>
      <c r="J73" s="246">
        <v>3649.8</v>
      </c>
      <c r="K73" s="446">
        <v>5511.6</v>
      </c>
      <c r="L73" s="270">
        <v>1358.8</v>
      </c>
      <c r="M73" s="247">
        <v>341.2</v>
      </c>
      <c r="N73" s="247">
        <v>272.8</v>
      </c>
      <c r="O73" s="247">
        <v>10.199999999999999</v>
      </c>
      <c r="P73" s="280">
        <v>0.8</v>
      </c>
      <c r="Q73" s="285">
        <f t="shared" si="29"/>
        <v>25664.399999999998</v>
      </c>
      <c r="R73" s="162"/>
      <c r="S73" s="170"/>
      <c r="T73" s="176"/>
    </row>
    <row r="74" spans="2:20" ht="15" customHeight="1">
      <c r="B74" s="458"/>
      <c r="C74" s="290" t="s">
        <v>142</v>
      </c>
      <c r="D74" s="295">
        <v>573.29999999999995</v>
      </c>
      <c r="E74" s="246">
        <v>97.7</v>
      </c>
      <c r="F74" s="246">
        <v>6257.5</v>
      </c>
      <c r="G74" s="246">
        <v>5034.2</v>
      </c>
      <c r="H74" s="246">
        <v>848.6</v>
      </c>
      <c r="I74" s="246">
        <v>172.6</v>
      </c>
      <c r="J74" s="246">
        <v>3351</v>
      </c>
      <c r="K74" s="446">
        <v>4257.5</v>
      </c>
      <c r="L74" s="270">
        <v>1485.9</v>
      </c>
      <c r="M74" s="247">
        <v>380.7</v>
      </c>
      <c r="N74" s="247">
        <v>230.9</v>
      </c>
      <c r="O74" s="247">
        <v>6.6</v>
      </c>
      <c r="P74" s="280">
        <v>1.1000000000000001</v>
      </c>
      <c r="Q74" s="285">
        <f t="shared" si="29"/>
        <v>22697.600000000002</v>
      </c>
      <c r="R74" s="162"/>
      <c r="S74" s="170"/>
      <c r="T74" s="176"/>
    </row>
    <row r="75" spans="2:20" ht="15" customHeight="1">
      <c r="B75" s="458"/>
      <c r="C75" s="291" t="s">
        <v>112</v>
      </c>
      <c r="D75" s="271">
        <f>D71/D72-1</f>
        <v>-0.22077922077922074</v>
      </c>
      <c r="E75" s="248">
        <f t="shared" ref="E75:N75" si="30">E71/E72-1</f>
        <v>-5.2631578947368474E-2</v>
      </c>
      <c r="F75" s="248">
        <f t="shared" si="30"/>
        <v>-0.38879456706281834</v>
      </c>
      <c r="G75" s="248">
        <f t="shared" si="30"/>
        <v>-0.67494356659142207</v>
      </c>
      <c r="H75" s="248">
        <f t="shared" si="30"/>
        <v>-0.55000000000000004</v>
      </c>
      <c r="I75" s="248">
        <f t="shared" si="30"/>
        <v>-1.6949152542372836E-2</v>
      </c>
      <c r="J75" s="248">
        <f t="shared" si="30"/>
        <v>-0.25624999999999998</v>
      </c>
      <c r="K75" s="265">
        <f t="shared" si="30"/>
        <v>-0.57669789227166279</v>
      </c>
      <c r="L75" s="439">
        <f t="shared" si="30"/>
        <v>-2.8938906752411619E-2</v>
      </c>
      <c r="M75" s="440">
        <f t="shared" si="30"/>
        <v>0.60344827586206895</v>
      </c>
      <c r="N75" s="440">
        <f t="shared" si="30"/>
        <v>0.30508474576271194</v>
      </c>
      <c r="O75" s="440"/>
      <c r="P75" s="441"/>
      <c r="Q75" s="286">
        <f>Q71/Q72-1</f>
        <v>-0.46977950713359273</v>
      </c>
      <c r="R75" s="162"/>
      <c r="S75" s="170"/>
      <c r="T75" s="176"/>
    </row>
    <row r="76" spans="2:20" ht="15" customHeight="1">
      <c r="B76" s="458"/>
      <c r="C76" s="291" t="s">
        <v>168</v>
      </c>
      <c r="D76" s="271">
        <f>D71/D73-1</f>
        <v>9.6892138939670858E-2</v>
      </c>
      <c r="E76" s="248">
        <f t="shared" ref="E76:P76" si="31">E71/E73-1</f>
        <v>-0.14933837429111529</v>
      </c>
      <c r="F76" s="248">
        <f t="shared" si="31"/>
        <v>-0.17920656634746923</v>
      </c>
      <c r="G76" s="248">
        <f t="shared" si="31"/>
        <v>-0.40507667900581701</v>
      </c>
      <c r="H76" s="248">
        <f t="shared" si="31"/>
        <v>-0.14481185860889401</v>
      </c>
      <c r="I76" s="248">
        <f t="shared" si="31"/>
        <v>0.57780195865070727</v>
      </c>
      <c r="J76" s="248">
        <f t="shared" si="31"/>
        <v>-2.1864211737629535E-2</v>
      </c>
      <c r="K76" s="265">
        <f t="shared" si="31"/>
        <v>-0.3441106030916613</v>
      </c>
      <c r="L76" s="439">
        <f t="shared" si="31"/>
        <v>0.11127465410656456</v>
      </c>
      <c r="M76" s="440">
        <f t="shared" si="31"/>
        <v>0.36283704572098485</v>
      </c>
      <c r="N76" s="440">
        <f t="shared" si="31"/>
        <v>0.41129032258064502</v>
      </c>
      <c r="O76" s="440">
        <f t="shared" si="31"/>
        <v>-0.50980392156862742</v>
      </c>
      <c r="P76" s="441">
        <f t="shared" si="31"/>
        <v>11.5</v>
      </c>
      <c r="Q76" s="286">
        <f>Q71/Q73-1</f>
        <v>-0.20356602920777411</v>
      </c>
      <c r="R76" s="162"/>
      <c r="S76" s="170"/>
    </row>
    <row r="77" spans="2:20" ht="15" customHeight="1" thickBot="1">
      <c r="B77" s="459"/>
      <c r="C77" s="292" t="s">
        <v>169</v>
      </c>
      <c r="D77" s="272">
        <f>D71/D74-1</f>
        <v>4.6572475143903835E-2</v>
      </c>
      <c r="E77" s="249">
        <f t="shared" ref="E77:P77" si="32">E71/E74-1</f>
        <v>-7.8812691914022515E-2</v>
      </c>
      <c r="F77" s="249">
        <f t="shared" si="32"/>
        <v>-0.13703555733120254</v>
      </c>
      <c r="G77" s="249">
        <f t="shared" si="32"/>
        <v>-0.28489134321242693</v>
      </c>
      <c r="H77" s="249">
        <f t="shared" si="32"/>
        <v>6.0570351166627345E-2</v>
      </c>
      <c r="I77" s="249">
        <f t="shared" si="32"/>
        <v>0.68018539976825032</v>
      </c>
      <c r="J77" s="249">
        <f t="shared" si="32"/>
        <v>6.5353625783348246E-2</v>
      </c>
      <c r="K77" s="266">
        <f t="shared" si="32"/>
        <v>-0.15091015854374634</v>
      </c>
      <c r="L77" s="442">
        <f t="shared" si="32"/>
        <v>1.6219126455346844E-2</v>
      </c>
      <c r="M77" s="443">
        <f t="shared" si="32"/>
        <v>0.2214342001576044</v>
      </c>
      <c r="N77" s="443">
        <f t="shared" si="32"/>
        <v>0.66738847986141181</v>
      </c>
      <c r="O77" s="443">
        <f t="shared" si="32"/>
        <v>-0.24242424242424243</v>
      </c>
      <c r="P77" s="444">
        <f t="shared" si="32"/>
        <v>8.0909090909090899</v>
      </c>
      <c r="Q77" s="287">
        <f>Q71/Q74-1</f>
        <v>-9.9464260538559279E-2</v>
      </c>
      <c r="R77" s="162"/>
      <c r="S77" s="170"/>
    </row>
    <row r="78" spans="2:20" ht="15" customHeight="1">
      <c r="B78" s="457" t="s">
        <v>113</v>
      </c>
      <c r="C78" s="331" t="s">
        <v>155</v>
      </c>
      <c r="D78" s="332">
        <v>1600</v>
      </c>
      <c r="E78" s="333">
        <v>2180</v>
      </c>
      <c r="F78" s="333">
        <v>11170</v>
      </c>
      <c r="G78" s="333">
        <v>8000</v>
      </c>
      <c r="H78" s="333">
        <v>510</v>
      </c>
      <c r="I78" s="333">
        <v>900</v>
      </c>
      <c r="J78" s="333">
        <v>7720</v>
      </c>
      <c r="K78" s="334">
        <v>3000</v>
      </c>
      <c r="L78" s="335">
        <v>2200</v>
      </c>
      <c r="M78" s="336">
        <v>840</v>
      </c>
      <c r="N78" s="336">
        <v>590</v>
      </c>
      <c r="O78" s="336">
        <v>35</v>
      </c>
      <c r="P78" s="337">
        <v>0</v>
      </c>
      <c r="Q78" s="330">
        <f>SUM(D78:P78)</f>
        <v>38745</v>
      </c>
      <c r="R78" s="162"/>
      <c r="S78" s="170"/>
      <c r="T78" s="176"/>
    </row>
    <row r="79" spans="2:20" ht="15" customHeight="1">
      <c r="B79" s="458"/>
      <c r="C79" s="289" t="s">
        <v>144</v>
      </c>
      <c r="D79" s="295">
        <v>1530</v>
      </c>
      <c r="E79" s="246">
        <v>1690</v>
      </c>
      <c r="F79" s="246">
        <v>10075</v>
      </c>
      <c r="G79" s="246">
        <v>8805</v>
      </c>
      <c r="H79" s="246">
        <v>405</v>
      </c>
      <c r="I79" s="246">
        <v>940</v>
      </c>
      <c r="J79" s="246">
        <v>5600</v>
      </c>
      <c r="K79" s="264">
        <v>2770</v>
      </c>
      <c r="L79" s="270">
        <v>2550</v>
      </c>
      <c r="M79" s="247">
        <v>705</v>
      </c>
      <c r="N79" s="247">
        <v>500</v>
      </c>
      <c r="O79" s="247">
        <v>20</v>
      </c>
      <c r="P79" s="280">
        <v>2</v>
      </c>
      <c r="Q79" s="285">
        <f t="shared" ref="Q79:Q81" si="33">SUM(D79:P79)</f>
        <v>35592</v>
      </c>
      <c r="R79" s="162"/>
      <c r="S79" s="170"/>
      <c r="T79" s="176"/>
    </row>
    <row r="80" spans="2:20" ht="15" customHeight="1">
      <c r="B80" s="458"/>
      <c r="C80" s="290" t="s">
        <v>141</v>
      </c>
      <c r="D80" s="295">
        <v>1175</v>
      </c>
      <c r="E80" s="246">
        <v>1360</v>
      </c>
      <c r="F80" s="246">
        <v>9589</v>
      </c>
      <c r="G80" s="246">
        <v>8502</v>
      </c>
      <c r="H80" s="246">
        <v>443</v>
      </c>
      <c r="I80" s="246">
        <v>926</v>
      </c>
      <c r="J80" s="246">
        <v>5160</v>
      </c>
      <c r="K80" s="264">
        <v>3372</v>
      </c>
      <c r="L80" s="270">
        <v>2397</v>
      </c>
      <c r="M80" s="247">
        <v>737</v>
      </c>
      <c r="N80" s="247">
        <v>314</v>
      </c>
      <c r="O80" s="247">
        <v>15</v>
      </c>
      <c r="P80" s="280">
        <v>6.4</v>
      </c>
      <c r="Q80" s="285">
        <f t="shared" si="33"/>
        <v>33996.400000000001</v>
      </c>
      <c r="R80" s="162"/>
      <c r="S80" s="170"/>
      <c r="T80" s="176"/>
    </row>
    <row r="81" spans="2:22" ht="15" customHeight="1">
      <c r="B81" s="458"/>
      <c r="C81" s="290" t="s">
        <v>142</v>
      </c>
      <c r="D81" s="295">
        <v>1278.5</v>
      </c>
      <c r="E81" s="246">
        <v>1537.5</v>
      </c>
      <c r="F81" s="246">
        <v>10740.5</v>
      </c>
      <c r="G81" s="246">
        <v>10169</v>
      </c>
      <c r="H81" s="246">
        <v>563.5</v>
      </c>
      <c r="I81" s="246">
        <v>944</v>
      </c>
      <c r="J81" s="246">
        <v>5915</v>
      </c>
      <c r="K81" s="264">
        <v>4387</v>
      </c>
      <c r="L81" s="270">
        <v>2352.5</v>
      </c>
      <c r="M81" s="247">
        <v>628</v>
      </c>
      <c r="N81" s="247">
        <v>272.5</v>
      </c>
      <c r="O81" s="247">
        <v>25.5</v>
      </c>
      <c r="P81" s="280">
        <v>3.2</v>
      </c>
      <c r="Q81" s="285">
        <f t="shared" si="33"/>
        <v>38816.699999999997</v>
      </c>
      <c r="R81" s="162"/>
      <c r="S81" s="170"/>
      <c r="T81" s="176"/>
    </row>
    <row r="82" spans="2:22" ht="15" customHeight="1">
      <c r="B82" s="458"/>
      <c r="C82" s="291" t="s">
        <v>112</v>
      </c>
      <c r="D82" s="271">
        <f>D78/D79-1</f>
        <v>4.5751633986928164E-2</v>
      </c>
      <c r="E82" s="248">
        <f t="shared" ref="E82:P82" si="34">E78/E79-1</f>
        <v>0.28994082840236679</v>
      </c>
      <c r="F82" s="248">
        <f t="shared" si="34"/>
        <v>0.10868486352357309</v>
      </c>
      <c r="G82" s="248">
        <f t="shared" si="34"/>
        <v>-9.1425326519023242E-2</v>
      </c>
      <c r="H82" s="248">
        <f t="shared" si="34"/>
        <v>0.2592592592592593</v>
      </c>
      <c r="I82" s="248">
        <f t="shared" si="34"/>
        <v>-4.2553191489361653E-2</v>
      </c>
      <c r="J82" s="248">
        <f t="shared" si="34"/>
        <v>0.37857142857142856</v>
      </c>
      <c r="K82" s="265">
        <f t="shared" si="34"/>
        <v>8.3032490974729312E-2</v>
      </c>
      <c r="L82" s="271">
        <f t="shared" si="34"/>
        <v>-0.13725490196078427</v>
      </c>
      <c r="M82" s="248">
        <f t="shared" si="34"/>
        <v>0.1914893617021276</v>
      </c>
      <c r="N82" s="248">
        <f t="shared" si="34"/>
        <v>0.17999999999999994</v>
      </c>
      <c r="O82" s="248">
        <f t="shared" si="34"/>
        <v>0.75</v>
      </c>
      <c r="P82" s="281">
        <f t="shared" si="34"/>
        <v>-1</v>
      </c>
      <c r="Q82" s="286">
        <f>Q78/Q79-1</f>
        <v>8.8587322993931128E-2</v>
      </c>
      <c r="R82" s="162"/>
      <c r="S82" s="170"/>
      <c r="T82" s="176"/>
    </row>
    <row r="83" spans="2:22" ht="15" customHeight="1">
      <c r="B83" s="458"/>
      <c r="C83" s="291" t="s">
        <v>168</v>
      </c>
      <c r="D83" s="271">
        <f>D78/D80-1</f>
        <v>0.36170212765957444</v>
      </c>
      <c r="E83" s="248">
        <f t="shared" ref="E83:P83" si="35">E78/E80-1</f>
        <v>0.60294117647058831</v>
      </c>
      <c r="F83" s="248">
        <f t="shared" si="35"/>
        <v>0.16487642089894661</v>
      </c>
      <c r="G83" s="248">
        <f t="shared" si="35"/>
        <v>-5.9044930604563617E-2</v>
      </c>
      <c r="H83" s="248">
        <f t="shared" si="35"/>
        <v>0.15124153498871329</v>
      </c>
      <c r="I83" s="248">
        <f t="shared" si="35"/>
        <v>-2.8077753779697678E-2</v>
      </c>
      <c r="J83" s="248">
        <f t="shared" si="35"/>
        <v>0.49612403100775193</v>
      </c>
      <c r="K83" s="265">
        <f t="shared" si="35"/>
        <v>-0.11032028469750887</v>
      </c>
      <c r="L83" s="271">
        <f t="shared" si="35"/>
        <v>-8.2186065915727968E-2</v>
      </c>
      <c r="M83" s="248">
        <f t="shared" si="35"/>
        <v>0.13975576662143818</v>
      </c>
      <c r="N83" s="248">
        <f t="shared" si="35"/>
        <v>0.87898089171974525</v>
      </c>
      <c r="O83" s="248">
        <f t="shared" si="35"/>
        <v>1.3333333333333335</v>
      </c>
      <c r="P83" s="281">
        <f t="shared" si="35"/>
        <v>-1</v>
      </c>
      <c r="Q83" s="286">
        <f>Q78/Q80-1</f>
        <v>0.13967949547599146</v>
      </c>
      <c r="R83" s="162"/>
      <c r="S83" s="170"/>
    </row>
    <row r="84" spans="2:22" ht="15" customHeight="1" thickBot="1">
      <c r="B84" s="459"/>
      <c r="C84" s="292" t="s">
        <v>169</v>
      </c>
      <c r="D84" s="272">
        <f>D78/D81-1</f>
        <v>0.25146656237778653</v>
      </c>
      <c r="E84" s="249">
        <f t="shared" ref="E84:P84" si="36">E78/E81-1</f>
        <v>0.41788617886178869</v>
      </c>
      <c r="F84" s="249">
        <f t="shared" si="36"/>
        <v>3.9988827335785126E-2</v>
      </c>
      <c r="G84" s="249">
        <f t="shared" si="36"/>
        <v>-0.21329530927328155</v>
      </c>
      <c r="H84" s="249">
        <f t="shared" si="36"/>
        <v>-9.4942324755989405E-2</v>
      </c>
      <c r="I84" s="249">
        <f t="shared" si="36"/>
        <v>-4.6610169491525411E-2</v>
      </c>
      <c r="J84" s="249">
        <f t="shared" si="36"/>
        <v>0.30515638207945894</v>
      </c>
      <c r="K84" s="266">
        <f t="shared" si="36"/>
        <v>-0.31616138591292453</v>
      </c>
      <c r="L84" s="272">
        <f t="shared" si="36"/>
        <v>-6.4824654622741784E-2</v>
      </c>
      <c r="M84" s="249">
        <f t="shared" si="36"/>
        <v>0.33757961783439483</v>
      </c>
      <c r="N84" s="249">
        <f t="shared" si="36"/>
        <v>1.165137614678899</v>
      </c>
      <c r="O84" s="249">
        <f t="shared" si="36"/>
        <v>0.37254901960784315</v>
      </c>
      <c r="P84" s="282">
        <f t="shared" si="36"/>
        <v>-1</v>
      </c>
      <c r="Q84" s="287">
        <f>Q78/Q81-1</f>
        <v>-1.8471431110835823E-3</v>
      </c>
      <c r="R84" s="195"/>
      <c r="S84" s="170"/>
    </row>
    <row r="85" spans="2:22" ht="14.25" customHeight="1">
      <c r="B85" s="457" t="s">
        <v>103</v>
      </c>
      <c r="C85" s="331" t="s">
        <v>155</v>
      </c>
      <c r="D85" s="332">
        <v>4200</v>
      </c>
      <c r="E85" s="333">
        <v>730</v>
      </c>
      <c r="F85" s="333">
        <v>43300</v>
      </c>
      <c r="G85" s="333">
        <v>62700</v>
      </c>
      <c r="H85" s="333">
        <v>2730</v>
      </c>
      <c r="I85" s="333">
        <v>2930</v>
      </c>
      <c r="J85" s="333">
        <v>22850</v>
      </c>
      <c r="K85" s="334">
        <v>21660</v>
      </c>
      <c r="L85" s="335">
        <v>16425</v>
      </c>
      <c r="M85" s="336">
        <v>2030</v>
      </c>
      <c r="N85" s="336">
        <v>550</v>
      </c>
      <c r="O85" s="336">
        <v>10</v>
      </c>
      <c r="P85" s="337">
        <v>13</v>
      </c>
      <c r="Q85" s="330">
        <f>SUM(D85:P85)</f>
        <v>180128</v>
      </c>
      <c r="R85" s="195"/>
      <c r="S85" s="170"/>
      <c r="T85" s="176"/>
    </row>
    <row r="86" spans="2:22" ht="15" customHeight="1">
      <c r="B86" s="458"/>
      <c r="C86" s="289" t="s">
        <v>144</v>
      </c>
      <c r="D86" s="295">
        <v>3960</v>
      </c>
      <c r="E86" s="246">
        <v>730</v>
      </c>
      <c r="F86" s="246">
        <v>43300</v>
      </c>
      <c r="G86" s="246">
        <v>63450</v>
      </c>
      <c r="H86" s="246">
        <v>3115</v>
      </c>
      <c r="I86" s="246">
        <v>2910</v>
      </c>
      <c r="J86" s="246">
        <v>23960</v>
      </c>
      <c r="K86" s="264">
        <v>23640</v>
      </c>
      <c r="L86" s="270">
        <v>16680</v>
      </c>
      <c r="M86" s="247">
        <v>1660</v>
      </c>
      <c r="N86" s="247">
        <v>575</v>
      </c>
      <c r="O86" s="247">
        <v>15</v>
      </c>
      <c r="P86" s="280">
        <v>25</v>
      </c>
      <c r="Q86" s="285">
        <f t="shared" ref="Q86:Q88" si="37">SUM(D86:P86)</f>
        <v>184020</v>
      </c>
      <c r="R86" s="162"/>
      <c r="S86" s="170"/>
      <c r="T86" s="176"/>
    </row>
    <row r="87" spans="2:22" ht="15" customHeight="1">
      <c r="B87" s="458"/>
      <c r="C87" s="290" t="s">
        <v>141</v>
      </c>
      <c r="D87" s="295">
        <v>4188</v>
      </c>
      <c r="E87" s="246">
        <v>620</v>
      </c>
      <c r="F87" s="246">
        <v>47789</v>
      </c>
      <c r="G87" s="246">
        <v>64963</v>
      </c>
      <c r="H87" s="246">
        <v>3224</v>
      </c>
      <c r="I87" s="246">
        <v>4233</v>
      </c>
      <c r="J87" s="246">
        <v>24842</v>
      </c>
      <c r="K87" s="264">
        <v>24905</v>
      </c>
      <c r="L87" s="270">
        <v>17642</v>
      </c>
      <c r="M87" s="247">
        <v>2219</v>
      </c>
      <c r="N87" s="247">
        <v>598</v>
      </c>
      <c r="O87" s="247">
        <v>12.4</v>
      </c>
      <c r="P87" s="280">
        <v>41</v>
      </c>
      <c r="Q87" s="285">
        <f t="shared" si="37"/>
        <v>195276.4</v>
      </c>
      <c r="R87" s="162"/>
      <c r="S87" s="170"/>
      <c r="T87" s="176"/>
    </row>
    <row r="88" spans="2:22" ht="15" customHeight="1">
      <c r="B88" s="458"/>
      <c r="C88" s="290" t="s">
        <v>142</v>
      </c>
      <c r="D88" s="295">
        <v>4475</v>
      </c>
      <c r="E88" s="246">
        <v>497</v>
      </c>
      <c r="F88" s="246">
        <v>47902</v>
      </c>
      <c r="G88" s="246">
        <v>65579</v>
      </c>
      <c r="H88" s="246">
        <v>3407</v>
      </c>
      <c r="I88" s="246">
        <v>3740.5</v>
      </c>
      <c r="J88" s="246">
        <v>24766</v>
      </c>
      <c r="K88" s="264">
        <v>25470</v>
      </c>
      <c r="L88" s="270">
        <v>18776.5</v>
      </c>
      <c r="M88" s="247">
        <v>2988</v>
      </c>
      <c r="N88" s="247">
        <v>580</v>
      </c>
      <c r="O88" s="247">
        <v>20.2</v>
      </c>
      <c r="P88" s="280">
        <v>30.5</v>
      </c>
      <c r="Q88" s="285">
        <f t="shared" si="37"/>
        <v>198231.7</v>
      </c>
      <c r="R88" s="162"/>
      <c r="S88" s="170"/>
      <c r="T88" s="176"/>
    </row>
    <row r="89" spans="2:22" ht="15" customHeight="1">
      <c r="B89" s="458"/>
      <c r="C89" s="291" t="s">
        <v>112</v>
      </c>
      <c r="D89" s="271">
        <v>6.0606060606060552E-2</v>
      </c>
      <c r="E89" s="248">
        <v>0</v>
      </c>
      <c r="F89" s="248">
        <v>0</v>
      </c>
      <c r="G89" s="248">
        <v>-1.1820330969267157E-2</v>
      </c>
      <c r="H89" s="248">
        <v>-0.1235955056179775</v>
      </c>
      <c r="I89" s="248">
        <v>6.8728522336769515E-3</v>
      </c>
      <c r="J89" s="248">
        <v>-4.6327212020033426E-2</v>
      </c>
      <c r="K89" s="265">
        <v>-8.3756345177664948E-2</v>
      </c>
      <c r="L89" s="271">
        <v>-1.5287769784172678E-2</v>
      </c>
      <c r="M89" s="248">
        <v>0.22289156626506035</v>
      </c>
      <c r="N89" s="248">
        <v>-4.3478260869565188E-2</v>
      </c>
      <c r="O89" s="248">
        <v>-0.33333333333333337</v>
      </c>
      <c r="P89" s="281">
        <v>-0.48</v>
      </c>
      <c r="Q89" s="286">
        <f>Q85/Q86-1</f>
        <v>-2.1149875013585451E-2</v>
      </c>
      <c r="R89" s="195"/>
      <c r="S89" s="195"/>
      <c r="T89" s="195"/>
      <c r="U89" s="195"/>
    </row>
    <row r="90" spans="2:22" ht="15" customHeight="1">
      <c r="B90" s="458"/>
      <c r="C90" s="291" t="s">
        <v>168</v>
      </c>
      <c r="D90" s="271">
        <v>2.8653295128939771E-3</v>
      </c>
      <c r="E90" s="248">
        <v>0.17741935483870974</v>
      </c>
      <c r="F90" s="248">
        <v>-9.3933750444663011E-2</v>
      </c>
      <c r="G90" s="248">
        <v>-3.4835213890984096E-2</v>
      </c>
      <c r="H90" s="248">
        <v>-0.15322580645161288</v>
      </c>
      <c r="I90" s="248">
        <v>-0.30781951334750768</v>
      </c>
      <c r="J90" s="248">
        <v>-8.0186780452459527E-2</v>
      </c>
      <c r="K90" s="265">
        <v>-0.13029512146155386</v>
      </c>
      <c r="L90" s="271">
        <v>-6.8983108491100786E-2</v>
      </c>
      <c r="M90" s="248">
        <v>-8.5173501577287092E-2</v>
      </c>
      <c r="N90" s="248">
        <v>-8.026755852842804E-2</v>
      </c>
      <c r="O90" s="248">
        <v>-0.19354838709677424</v>
      </c>
      <c r="P90" s="281">
        <v>-0.68292682926829262</v>
      </c>
      <c r="Q90" s="286">
        <f>Q85/Q87-1</f>
        <v>-7.7574146184587578E-2</v>
      </c>
      <c r="R90" s="195"/>
      <c r="S90" s="195"/>
      <c r="T90" s="195"/>
      <c r="U90" s="195"/>
      <c r="V90" s="195"/>
    </row>
    <row r="91" spans="2:22" ht="15" customHeight="1" thickBot="1">
      <c r="B91" s="459"/>
      <c r="C91" s="292" t="s">
        <v>169</v>
      </c>
      <c r="D91" s="272">
        <v>-6.1452513966480438E-2</v>
      </c>
      <c r="E91" s="249">
        <v>0.46881287726358156</v>
      </c>
      <c r="F91" s="249">
        <v>-9.6071145254895463E-2</v>
      </c>
      <c r="G91" s="249">
        <v>-4.3901248875402143E-2</v>
      </c>
      <c r="H91" s="249">
        <v>-0.19870854123862636</v>
      </c>
      <c r="I91" s="249">
        <v>-0.21668226172971528</v>
      </c>
      <c r="J91" s="249">
        <v>-7.7364128240329455E-2</v>
      </c>
      <c r="K91" s="266">
        <v>-0.14958775029446403</v>
      </c>
      <c r="L91" s="272">
        <v>-0.1252363326498549</v>
      </c>
      <c r="M91" s="249">
        <v>-0.32061579651941097</v>
      </c>
      <c r="N91" s="249">
        <v>-5.1724137931034475E-2</v>
      </c>
      <c r="O91" s="249">
        <v>-0.50495049504950495</v>
      </c>
      <c r="P91" s="282">
        <v>-0.57377049180327866</v>
      </c>
      <c r="Q91" s="287">
        <f>Q85/Q88-1</f>
        <v>-9.132595846173952E-2</v>
      </c>
      <c r="R91" s="196"/>
      <c r="S91" s="196"/>
      <c r="T91" s="196"/>
      <c r="U91" s="196"/>
      <c r="V91" s="196"/>
    </row>
    <row r="92" spans="2:22" ht="15" customHeight="1">
      <c r="B92" s="457" t="s">
        <v>104</v>
      </c>
      <c r="C92" s="331" t="s">
        <v>155</v>
      </c>
      <c r="D92" s="332">
        <v>1000</v>
      </c>
      <c r="E92" s="333">
        <v>70</v>
      </c>
      <c r="F92" s="333">
        <v>5300</v>
      </c>
      <c r="G92" s="333">
        <v>17100</v>
      </c>
      <c r="H92" s="333">
        <v>400</v>
      </c>
      <c r="I92" s="333">
        <v>4280</v>
      </c>
      <c r="J92" s="333">
        <v>1670</v>
      </c>
      <c r="K92" s="334">
        <v>2410</v>
      </c>
      <c r="L92" s="335">
        <v>1265</v>
      </c>
      <c r="M92" s="336">
        <v>25</v>
      </c>
      <c r="N92" s="336">
        <v>3</v>
      </c>
      <c r="O92" s="336">
        <v>0</v>
      </c>
      <c r="P92" s="337">
        <v>0</v>
      </c>
      <c r="Q92" s="330">
        <f>SUM(D92:P92)</f>
        <v>33523</v>
      </c>
      <c r="R92" s="195"/>
      <c r="S92" s="170"/>
      <c r="T92" s="176"/>
    </row>
    <row r="93" spans="2:22" ht="15" customHeight="1">
      <c r="B93" s="458"/>
      <c r="C93" s="289" t="s">
        <v>144</v>
      </c>
      <c r="D93" s="295">
        <v>920</v>
      </c>
      <c r="E93" s="246">
        <v>60</v>
      </c>
      <c r="F93" s="246">
        <v>5085</v>
      </c>
      <c r="G93" s="246">
        <v>19060</v>
      </c>
      <c r="H93" s="246">
        <v>400</v>
      </c>
      <c r="I93" s="246">
        <v>4100</v>
      </c>
      <c r="J93" s="246">
        <v>1640</v>
      </c>
      <c r="K93" s="264">
        <v>2580</v>
      </c>
      <c r="L93" s="270">
        <v>1135</v>
      </c>
      <c r="M93" s="247">
        <v>30</v>
      </c>
      <c r="N93" s="247">
        <v>2</v>
      </c>
      <c r="O93" s="247">
        <v>0</v>
      </c>
      <c r="P93" s="280">
        <v>0</v>
      </c>
      <c r="Q93" s="285">
        <f t="shared" ref="Q93:Q95" si="38">SUM(D93:P93)</f>
        <v>35012</v>
      </c>
      <c r="R93" s="195"/>
      <c r="S93" s="170"/>
      <c r="T93" s="176"/>
    </row>
    <row r="94" spans="2:22" ht="15" customHeight="1">
      <c r="B94" s="458"/>
      <c r="C94" s="290" t="s">
        <v>141</v>
      </c>
      <c r="D94" s="295">
        <v>944</v>
      </c>
      <c r="E94" s="246">
        <v>67</v>
      </c>
      <c r="F94" s="246">
        <v>8979</v>
      </c>
      <c r="G94" s="246">
        <v>27109.599999999999</v>
      </c>
      <c r="H94" s="246">
        <v>581</v>
      </c>
      <c r="I94" s="246">
        <v>4742</v>
      </c>
      <c r="J94" s="246">
        <v>3066</v>
      </c>
      <c r="K94" s="264">
        <v>4570</v>
      </c>
      <c r="L94" s="270">
        <v>1316</v>
      </c>
      <c r="M94" s="247">
        <v>25.4</v>
      </c>
      <c r="N94" s="247">
        <v>14.4</v>
      </c>
      <c r="O94" s="247">
        <v>0</v>
      </c>
      <c r="P94" s="280">
        <v>0</v>
      </c>
      <c r="Q94" s="285">
        <f t="shared" si="38"/>
        <v>51414.400000000001</v>
      </c>
      <c r="R94" s="195"/>
      <c r="S94" s="170"/>
      <c r="T94" s="176"/>
    </row>
    <row r="95" spans="2:22" ht="15" customHeight="1">
      <c r="B95" s="458"/>
      <c r="C95" s="290" t="s">
        <v>142</v>
      </c>
      <c r="D95" s="295">
        <v>997</v>
      </c>
      <c r="E95" s="246">
        <v>70.900000000000006</v>
      </c>
      <c r="F95" s="246">
        <v>9765</v>
      </c>
      <c r="G95" s="246">
        <v>25584.799999999999</v>
      </c>
      <c r="H95" s="246">
        <v>632.5</v>
      </c>
      <c r="I95" s="246">
        <v>4261</v>
      </c>
      <c r="J95" s="246">
        <v>3725.5</v>
      </c>
      <c r="K95" s="264">
        <v>5557.5</v>
      </c>
      <c r="L95" s="270">
        <v>1140.5</v>
      </c>
      <c r="M95" s="247">
        <v>73.2</v>
      </c>
      <c r="N95" s="247">
        <v>15.2</v>
      </c>
      <c r="O95" s="247">
        <v>0</v>
      </c>
      <c r="P95" s="280">
        <v>4</v>
      </c>
      <c r="Q95" s="285">
        <f t="shared" si="38"/>
        <v>51827.099999999991</v>
      </c>
      <c r="R95" s="195"/>
      <c r="S95" s="170"/>
      <c r="T95" s="176"/>
    </row>
    <row r="96" spans="2:22" ht="15" customHeight="1">
      <c r="B96" s="458"/>
      <c r="C96" s="291" t="s">
        <v>112</v>
      </c>
      <c r="D96" s="271">
        <f>D92/D93-1</f>
        <v>8.6956521739130377E-2</v>
      </c>
      <c r="E96" s="248">
        <f t="shared" ref="E96:N96" si="39">E92/E93-1</f>
        <v>0.16666666666666674</v>
      </c>
      <c r="F96" s="248">
        <f t="shared" si="39"/>
        <v>4.2281219272369608E-2</v>
      </c>
      <c r="G96" s="248">
        <f t="shared" si="39"/>
        <v>-0.10283315844700947</v>
      </c>
      <c r="H96" s="248">
        <f t="shared" si="39"/>
        <v>0</v>
      </c>
      <c r="I96" s="248">
        <f t="shared" si="39"/>
        <v>4.3902439024390283E-2</v>
      </c>
      <c r="J96" s="248">
        <f t="shared" si="39"/>
        <v>1.8292682926829285E-2</v>
      </c>
      <c r="K96" s="265">
        <f t="shared" si="39"/>
        <v>-6.589147286821706E-2</v>
      </c>
      <c r="L96" s="271">
        <f t="shared" si="39"/>
        <v>0.11453744493392071</v>
      </c>
      <c r="M96" s="248">
        <f t="shared" si="39"/>
        <v>-0.16666666666666663</v>
      </c>
      <c r="N96" s="248">
        <f t="shared" si="39"/>
        <v>0.5</v>
      </c>
      <c r="O96" s="248"/>
      <c r="P96" s="281"/>
      <c r="Q96" s="286">
        <f>Q92/Q93-1</f>
        <v>-4.2528276019650368E-2</v>
      </c>
      <c r="R96" s="162"/>
      <c r="S96" s="170"/>
      <c r="T96" s="176"/>
    </row>
    <row r="97" spans="2:19" ht="15" customHeight="1">
      <c r="B97" s="458"/>
      <c r="C97" s="291" t="s">
        <v>168</v>
      </c>
      <c r="D97" s="271">
        <f>D92/D94-1</f>
        <v>5.9322033898305149E-2</v>
      </c>
      <c r="E97" s="248">
        <f t="shared" ref="E97:N97" si="40">E92/E94-1</f>
        <v>4.4776119402984982E-2</v>
      </c>
      <c r="F97" s="248">
        <f t="shared" si="40"/>
        <v>-0.40973382336563091</v>
      </c>
      <c r="G97" s="248">
        <f t="shared" si="40"/>
        <v>-0.3692271372502729</v>
      </c>
      <c r="H97" s="248">
        <f t="shared" si="40"/>
        <v>-0.31153184165232362</v>
      </c>
      <c r="I97" s="248">
        <f t="shared" si="40"/>
        <v>-9.7427245887811043E-2</v>
      </c>
      <c r="J97" s="248">
        <f t="shared" si="40"/>
        <v>-0.45531637312459228</v>
      </c>
      <c r="K97" s="265">
        <f t="shared" si="40"/>
        <v>-0.47264770240700216</v>
      </c>
      <c r="L97" s="271">
        <f t="shared" si="40"/>
        <v>-3.8753799392097221E-2</v>
      </c>
      <c r="M97" s="248">
        <f t="shared" si="40"/>
        <v>-1.5748031496062964E-2</v>
      </c>
      <c r="N97" s="248">
        <f t="shared" si="40"/>
        <v>-0.79166666666666674</v>
      </c>
      <c r="O97" s="248"/>
      <c r="P97" s="281"/>
      <c r="Q97" s="286">
        <f>Q92/Q94-1</f>
        <v>-0.34798422231903903</v>
      </c>
      <c r="R97" s="162"/>
      <c r="S97" s="170"/>
    </row>
    <row r="98" spans="2:19" ht="15" customHeight="1" thickBot="1">
      <c r="B98" s="461"/>
      <c r="C98" s="292" t="s">
        <v>169</v>
      </c>
      <c r="D98" s="272">
        <f>D92/D95-1</f>
        <v>3.0090270812437314E-3</v>
      </c>
      <c r="E98" s="249">
        <f t="shared" ref="E98:N98" si="41">E92/E95-1</f>
        <v>-1.2693935119887256E-2</v>
      </c>
      <c r="F98" s="249">
        <f t="shared" si="41"/>
        <v>-0.45724526369687657</v>
      </c>
      <c r="G98" s="249">
        <f t="shared" si="41"/>
        <v>-0.33163440792970822</v>
      </c>
      <c r="H98" s="249">
        <f t="shared" si="41"/>
        <v>-0.3675889328063241</v>
      </c>
      <c r="I98" s="249">
        <f t="shared" si="41"/>
        <v>4.4590471720253877E-3</v>
      </c>
      <c r="J98" s="249">
        <f t="shared" si="41"/>
        <v>-0.551738021742048</v>
      </c>
      <c r="K98" s="266">
        <f t="shared" si="41"/>
        <v>-0.56635177687809268</v>
      </c>
      <c r="L98" s="272">
        <f t="shared" si="41"/>
        <v>0.1091626479614205</v>
      </c>
      <c r="M98" s="249">
        <f t="shared" si="41"/>
        <v>-0.65846994535519121</v>
      </c>
      <c r="N98" s="249">
        <f t="shared" si="41"/>
        <v>-0.80263157894736836</v>
      </c>
      <c r="O98" s="249"/>
      <c r="P98" s="282"/>
      <c r="Q98" s="287">
        <f>Q92/Q95-1</f>
        <v>-0.35317623405515641</v>
      </c>
      <c r="R98" s="162"/>
      <c r="S98" s="170"/>
    </row>
    <row r="99" spans="2:19" ht="16.5" customHeight="1">
      <c r="B99" s="152" t="s">
        <v>143</v>
      </c>
      <c r="D99" s="149"/>
      <c r="E99" s="149"/>
      <c r="F99" s="149"/>
      <c r="G99" s="149"/>
      <c r="H99" s="149"/>
      <c r="I99" s="149"/>
      <c r="J99" s="149"/>
      <c r="K99" s="149"/>
      <c r="L99" s="150"/>
      <c r="M99" s="150"/>
      <c r="N99" s="150"/>
      <c r="O99" s="150"/>
      <c r="P99" s="150"/>
      <c r="Q99" s="202"/>
      <c r="S99" s="170"/>
    </row>
    <row r="100" spans="2:19" ht="15" customHeight="1">
      <c r="B100" s="148" t="str">
        <f>GC_Estim1_07_SURF_RDT_24_25!A70</f>
        <v>(5) : SAA 2024 provisoire</v>
      </c>
      <c r="S100" s="170"/>
    </row>
    <row r="101" spans="2:19" ht="13.5" customHeight="1">
      <c r="B101" s="152"/>
      <c r="S101" s="170"/>
    </row>
    <row r="102" spans="2:19" ht="15" customHeight="1">
      <c r="B102" s="153"/>
      <c r="Q102" s="203"/>
      <c r="S102" s="170"/>
    </row>
    <row r="103" spans="2:19" ht="13.5" customHeight="1">
      <c r="B103" s="153"/>
      <c r="C103" s="153"/>
      <c r="S103" s="170"/>
    </row>
    <row r="104" spans="2:19" ht="15" customHeight="1">
      <c r="S104" s="170"/>
    </row>
    <row r="105" spans="2:19" ht="13.5" customHeight="1">
      <c r="S105" s="170"/>
    </row>
    <row r="106" spans="2:19" ht="13.5" customHeight="1">
      <c r="S106" s="170"/>
    </row>
    <row r="107" spans="2:19" ht="13.5" customHeight="1">
      <c r="S107" s="170"/>
    </row>
    <row r="108" spans="2:19" ht="13.5" customHeight="1">
      <c r="S108" s="170"/>
    </row>
    <row r="109" spans="2:19" ht="13.5" customHeight="1">
      <c r="S109" s="170"/>
    </row>
    <row r="110" spans="2:19" ht="14.25" customHeight="1">
      <c r="S110" s="170"/>
    </row>
    <row r="111" spans="2:19" ht="19.5" customHeight="1">
      <c r="S111" s="170"/>
    </row>
    <row r="112" spans="2:19">
      <c r="S112" s="170"/>
    </row>
    <row r="113" spans="19:19">
      <c r="S113" s="170"/>
    </row>
    <row r="114" spans="19:19">
      <c r="S114" s="170"/>
    </row>
    <row r="115" spans="19:19">
      <c r="S115" s="170"/>
    </row>
    <row r="116" spans="19:19">
      <c r="S116" s="170"/>
    </row>
    <row r="117" spans="19:19">
      <c r="S117" s="170"/>
    </row>
    <row r="118" spans="19:19">
      <c r="S118" s="170"/>
    </row>
    <row r="119" spans="19:19">
      <c r="S119" s="170"/>
    </row>
    <row r="120" spans="19:19">
      <c r="S120" s="170"/>
    </row>
    <row r="121" spans="19:19">
      <c r="S121" s="170"/>
    </row>
    <row r="122" spans="19:19" ht="13.4" customHeight="1">
      <c r="S122" s="170"/>
    </row>
    <row r="123" spans="19:19">
      <c r="S123" s="170"/>
    </row>
    <row r="124" spans="19:19">
      <c r="S124" s="170"/>
    </row>
    <row r="125" spans="19:19">
      <c r="S125" s="170"/>
    </row>
    <row r="126" spans="19:19">
      <c r="S126" s="170"/>
    </row>
    <row r="127" spans="19:19">
      <c r="S127" s="170"/>
    </row>
    <row r="128" spans="19:19">
      <c r="S128" s="170"/>
    </row>
    <row r="129" spans="19:19">
      <c r="S129" s="170"/>
    </row>
    <row r="130" spans="19:19">
      <c r="S130" s="170"/>
    </row>
    <row r="131" spans="19:19">
      <c r="S131" s="170"/>
    </row>
    <row r="132" spans="19:19">
      <c r="S132" s="170"/>
    </row>
    <row r="133" spans="19:19">
      <c r="S133" s="170"/>
    </row>
    <row r="134" spans="19:19">
      <c r="S134" s="170"/>
    </row>
    <row r="135" spans="19:19">
      <c r="S135" s="170"/>
    </row>
    <row r="136" spans="19:19">
      <c r="S136" s="170"/>
    </row>
    <row r="137" spans="19:19">
      <c r="S137" s="170"/>
    </row>
    <row r="138" spans="19:19">
      <c r="S138" s="170"/>
    </row>
    <row r="139" spans="19:19">
      <c r="S139" s="170"/>
    </row>
  </sheetData>
  <sheetProtection selectLockedCells="1" selectUnlockedCells="1"/>
  <mergeCells count="13">
    <mergeCell ref="B92:B98"/>
    <mergeCell ref="B50:B56"/>
    <mergeCell ref="B57:B63"/>
    <mergeCell ref="B64:B70"/>
    <mergeCell ref="B71:B77"/>
    <mergeCell ref="B78:B84"/>
    <mergeCell ref="B85:B91"/>
    <mergeCell ref="B43:B49"/>
    <mergeCell ref="A1:M1"/>
    <mergeCell ref="B15:B21"/>
    <mergeCell ref="B22:B28"/>
    <mergeCell ref="B29:B35"/>
    <mergeCell ref="B36:B42"/>
  </mergeCells>
  <hyperlinks>
    <hyperlink ref="T1" location="'Sommaire&amp;Méthodo'!A1" display="Retour Sommaire"/>
  </hyperlinks>
  <pageMargins left="0.74803149606299213" right="0.74803149606299213" top="0.98425196850393704" bottom="0.98425196850393704" header="0.51181102362204722" footer="0.51181102362204722"/>
  <pageSetup paperSize="9" firstPageNumber="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U139"/>
  <sheetViews>
    <sheetView showGridLines="0" topLeftCell="A25" zoomScale="110" zoomScaleNormal="110" workbookViewId="0">
      <selection activeCell="R31" sqref="R31"/>
    </sheetView>
  </sheetViews>
  <sheetFormatPr baseColWidth="10" defaultColWidth="11.54296875" defaultRowHeight="13"/>
  <cols>
    <col min="1" max="1" width="11.54296875" style="95"/>
    <col min="2" max="2" width="17" style="95" customWidth="1"/>
    <col min="3" max="3" width="24" style="95" customWidth="1"/>
    <col min="4" max="5" width="9.453125" style="95" customWidth="1"/>
    <col min="6" max="7" width="10.453125" style="95" customWidth="1"/>
    <col min="8" max="8" width="9.453125" style="95" customWidth="1"/>
    <col min="9" max="9" width="9.54296875" style="95" customWidth="1"/>
    <col min="10" max="10" width="9.453125" style="95" customWidth="1"/>
    <col min="11" max="11" width="10.453125" style="95" customWidth="1"/>
    <col min="12" max="12" width="9.453125" style="95" customWidth="1"/>
    <col min="13" max="13" width="10" style="95" customWidth="1"/>
    <col min="14" max="15" width="9.54296875" style="95" customWidth="1"/>
    <col min="16" max="16" width="14" style="95" customWidth="1"/>
    <col min="17" max="17" width="13.81640625" style="201" customWidth="1"/>
    <col min="18" max="18" width="13.26953125" style="95" customWidth="1"/>
    <col min="19" max="16384" width="11.54296875" style="95"/>
  </cols>
  <sheetData>
    <row r="1" spans="1:21" ht="16">
      <c r="A1" s="452"/>
      <c r="B1" s="452"/>
      <c r="C1" s="452"/>
      <c r="D1" s="452"/>
      <c r="E1" s="452"/>
      <c r="F1" s="452"/>
      <c r="G1" s="452"/>
      <c r="H1" s="452"/>
      <c r="I1" s="452"/>
      <c r="J1" s="452"/>
      <c r="K1" s="452"/>
      <c r="L1" s="452"/>
      <c r="M1" s="452"/>
      <c r="N1" s="204"/>
      <c r="Q1" s="188"/>
      <c r="T1" s="245" t="s">
        <v>138</v>
      </c>
    </row>
    <row r="2" spans="1:21">
      <c r="A2" s="96"/>
      <c r="Q2" s="188"/>
    </row>
    <row r="3" spans="1:21">
      <c r="A3" s="96"/>
      <c r="Q3" s="188"/>
    </row>
    <row r="4" spans="1:21">
      <c r="A4" s="96"/>
      <c r="Q4" s="188"/>
    </row>
    <row r="5" spans="1:21">
      <c r="A5" s="96"/>
      <c r="Q5" s="188"/>
    </row>
    <row r="6" spans="1:21">
      <c r="A6" s="96"/>
      <c r="Q6" s="188"/>
    </row>
    <row r="7" spans="1:21" ht="14">
      <c r="B7" s="97"/>
      <c r="C7" s="97"/>
      <c r="D7" s="97"/>
      <c r="E7" s="98"/>
      <c r="F7" s="98"/>
      <c r="G7" s="98"/>
      <c r="H7" s="98"/>
      <c r="I7" s="98"/>
      <c r="J7" s="98"/>
      <c r="K7" s="99"/>
      <c r="L7" s="99"/>
      <c r="M7" s="99"/>
      <c r="N7" s="99"/>
      <c r="O7" s="99"/>
      <c r="P7" s="99"/>
      <c r="Q7" s="99"/>
      <c r="R7" s="99"/>
      <c r="U7" s="100"/>
    </row>
    <row r="8" spans="1:21" ht="26.25" customHeight="1">
      <c r="B8" s="97"/>
      <c r="C8" s="97"/>
      <c r="D8" s="97"/>
      <c r="E8" s="98"/>
      <c r="F8" s="98"/>
      <c r="G8" s="98"/>
      <c r="H8" s="98"/>
      <c r="I8" s="98"/>
      <c r="J8" s="98"/>
      <c r="K8" s="99"/>
      <c r="L8" s="99"/>
      <c r="M8" s="99"/>
      <c r="N8" s="99"/>
      <c r="O8" s="99"/>
      <c r="P8" s="99"/>
      <c r="Q8" s="99"/>
      <c r="R8" s="99"/>
      <c r="U8" s="100"/>
    </row>
    <row r="9" spans="1:21" ht="14.5" thickBot="1">
      <c r="C9" s="97"/>
      <c r="D9" s="97"/>
      <c r="E9" s="97"/>
      <c r="F9" s="98"/>
      <c r="G9" s="98"/>
      <c r="H9" s="98"/>
      <c r="I9" s="98"/>
      <c r="J9" s="98"/>
      <c r="K9" s="98"/>
      <c r="L9" s="99"/>
      <c r="M9" s="99"/>
      <c r="N9" s="99"/>
      <c r="O9" s="99"/>
      <c r="P9" s="99"/>
      <c r="Q9" s="22"/>
      <c r="R9" s="162"/>
    </row>
    <row r="10" spans="1:21" ht="17.5">
      <c r="B10" s="250" t="s">
        <v>178</v>
      </c>
      <c r="C10" s="251"/>
      <c r="D10" s="251"/>
      <c r="E10" s="251"/>
      <c r="F10" s="251"/>
      <c r="G10" s="251"/>
      <c r="H10" s="211"/>
      <c r="I10" s="211"/>
      <c r="J10" s="211"/>
      <c r="K10" s="211"/>
      <c r="L10" s="212"/>
      <c r="M10" s="212"/>
      <c r="N10" s="212"/>
      <c r="O10" s="212"/>
      <c r="P10" s="212"/>
      <c r="Q10" s="252"/>
      <c r="R10" s="162"/>
    </row>
    <row r="11" spans="1:21" ht="14.25" customHeight="1">
      <c r="B11" s="317" t="s">
        <v>119</v>
      </c>
      <c r="C11" s="160"/>
      <c r="D11" s="160"/>
      <c r="E11" s="160"/>
      <c r="F11" s="160"/>
      <c r="G11" s="160"/>
      <c r="H11" s="200"/>
      <c r="I11" s="95" t="s">
        <v>156</v>
      </c>
      <c r="J11" s="161"/>
      <c r="K11" s="161"/>
      <c r="L11" s="162"/>
      <c r="M11" s="162"/>
      <c r="N11" s="162"/>
      <c r="O11" s="162"/>
      <c r="P11" s="162"/>
      <c r="Q11" s="253"/>
      <c r="R11" s="162"/>
    </row>
    <row r="12" spans="1:21" ht="14.25" customHeight="1">
      <c r="B12" s="254"/>
      <c r="C12" s="160"/>
      <c r="D12" s="160"/>
      <c r="E12" s="160"/>
      <c r="F12" s="160"/>
      <c r="G12" s="160"/>
      <c r="H12" s="320"/>
      <c r="I12" s="161" t="s">
        <v>148</v>
      </c>
      <c r="J12" s="161"/>
      <c r="K12" s="161"/>
      <c r="L12" s="162"/>
      <c r="M12" s="162"/>
      <c r="N12" s="162"/>
      <c r="O12" s="162"/>
      <c r="P12" s="162"/>
      <c r="Q12" s="253"/>
      <c r="R12" s="162"/>
    </row>
    <row r="13" spans="1:21" ht="12" customHeight="1" thickBot="1">
      <c r="B13" s="255" t="s">
        <v>127</v>
      </c>
      <c r="C13" s="256"/>
      <c r="D13" s="256"/>
      <c r="E13" s="256"/>
      <c r="F13" s="256"/>
      <c r="G13" s="256"/>
      <c r="H13" s="218"/>
      <c r="I13" s="218"/>
      <c r="J13" s="218"/>
      <c r="K13" s="218"/>
      <c r="L13" s="219"/>
      <c r="M13" s="219"/>
      <c r="N13" s="219"/>
      <c r="O13" s="219"/>
      <c r="P13" s="219"/>
      <c r="Q13" s="257"/>
      <c r="R13" s="194"/>
    </row>
    <row r="14" spans="1:21" ht="53.5" customHeight="1" thickBot="1">
      <c r="B14" s="303" t="s">
        <v>94</v>
      </c>
      <c r="C14" s="304" t="s">
        <v>145</v>
      </c>
      <c r="D14" s="296" t="s">
        <v>39</v>
      </c>
      <c r="E14" s="261" t="s">
        <v>40</v>
      </c>
      <c r="F14" s="261" t="s">
        <v>41</v>
      </c>
      <c r="G14" s="261" t="s">
        <v>42</v>
      </c>
      <c r="H14" s="261" t="s">
        <v>43</v>
      </c>
      <c r="I14" s="261" t="s">
        <v>44</v>
      </c>
      <c r="J14" s="261" t="s">
        <v>45</v>
      </c>
      <c r="K14" s="262" t="s">
        <v>46</v>
      </c>
      <c r="L14" s="403" t="s">
        <v>47</v>
      </c>
      <c r="M14" s="404" t="s">
        <v>48</v>
      </c>
      <c r="N14" s="404" t="s">
        <v>49</v>
      </c>
      <c r="O14" s="404" t="s">
        <v>128</v>
      </c>
      <c r="P14" s="405" t="s">
        <v>129</v>
      </c>
      <c r="Q14" s="283" t="s">
        <v>50</v>
      </c>
      <c r="R14" s="273"/>
      <c r="S14" s="170"/>
    </row>
    <row r="15" spans="1:21" ht="16.5" customHeight="1">
      <c r="B15" s="460" t="s">
        <v>154</v>
      </c>
      <c r="C15" s="288" t="s">
        <v>155</v>
      </c>
      <c r="D15" s="297">
        <v>50</v>
      </c>
      <c r="E15" s="258">
        <v>47.9</v>
      </c>
      <c r="F15" s="258">
        <v>55.94</v>
      </c>
      <c r="G15" s="258">
        <v>54.94</v>
      </c>
      <c r="H15" s="258">
        <v>49.95</v>
      </c>
      <c r="I15" s="258">
        <v>49</v>
      </c>
      <c r="J15" s="258">
        <v>56</v>
      </c>
      <c r="K15" s="263">
        <v>54</v>
      </c>
      <c r="L15" s="269">
        <v>59.95</v>
      </c>
      <c r="M15" s="259">
        <v>48.83</v>
      </c>
      <c r="N15" s="259">
        <v>49.84</v>
      </c>
      <c r="O15" s="259">
        <v>34.96</v>
      </c>
      <c r="P15" s="279">
        <v>49.38</v>
      </c>
      <c r="Q15" s="284">
        <f>SUMPRODUCT(D15:P15,GC_Estim1_07_SURF_24_25!D15:P15)/GC_Estim1_07_SURF_24_25!Q15</f>
        <v>54.153834708533878</v>
      </c>
      <c r="R15" s="274"/>
      <c r="S15" s="170"/>
      <c r="T15" s="176"/>
    </row>
    <row r="16" spans="1:21" ht="16.5" customHeight="1">
      <c r="B16" s="458"/>
      <c r="C16" s="289" t="s">
        <v>144</v>
      </c>
      <c r="D16" s="295">
        <v>53</v>
      </c>
      <c r="E16" s="246">
        <v>40.96</v>
      </c>
      <c r="F16" s="246">
        <v>54.97</v>
      </c>
      <c r="G16" s="246">
        <v>46.83</v>
      </c>
      <c r="H16" s="246">
        <v>45.93</v>
      </c>
      <c r="I16" s="246">
        <v>46.98</v>
      </c>
      <c r="J16" s="246">
        <v>51.97</v>
      </c>
      <c r="K16" s="264">
        <v>44.95</v>
      </c>
      <c r="L16" s="270">
        <v>49.92</v>
      </c>
      <c r="M16" s="247">
        <v>48.88</v>
      </c>
      <c r="N16" s="247">
        <v>42.84</v>
      </c>
      <c r="O16" s="247">
        <v>37.89</v>
      </c>
      <c r="P16" s="280">
        <v>17.89</v>
      </c>
      <c r="Q16" s="285">
        <f>SUMPRODUCT(D16:P16,GC_Estim1_07_SURF_24_25!D16:P16)/GC_Estim1_07_SURF_24_25!Q16</f>
        <v>48.817178631836121</v>
      </c>
      <c r="R16" s="275"/>
      <c r="S16" s="170"/>
      <c r="T16" s="176"/>
    </row>
    <row r="17" spans="2:20" ht="16.5" customHeight="1">
      <c r="B17" s="458"/>
      <c r="C17" s="290" t="s">
        <v>141</v>
      </c>
      <c r="D17" s="295">
        <v>46.233488511788558</v>
      </c>
      <c r="E17" s="246">
        <v>43.062341541782764</v>
      </c>
      <c r="F17" s="246">
        <v>50.237830569251457</v>
      </c>
      <c r="G17" s="246">
        <v>46.971941914841253</v>
      </c>
      <c r="H17" s="246">
        <v>46.448604492852283</v>
      </c>
      <c r="I17" s="246">
        <v>50.057874628555254</v>
      </c>
      <c r="J17" s="246">
        <v>49.930073662858973</v>
      </c>
      <c r="K17" s="264">
        <v>48.058691715013659</v>
      </c>
      <c r="L17" s="270">
        <v>46.292127766599599</v>
      </c>
      <c r="M17" s="247">
        <v>39.814123006833711</v>
      </c>
      <c r="N17" s="247">
        <v>33.221509763917226</v>
      </c>
      <c r="O17" s="247">
        <v>38.866375121477162</v>
      </c>
      <c r="P17" s="280">
        <v>28.904411764705884</v>
      </c>
      <c r="Q17" s="285">
        <f>SUMPRODUCT(D17:P17,GC_Estim1_07_SURF_24_25!D17:P17)/GC_Estim1_07_SURF_24_25!Q17</f>
        <v>47.58156514120337</v>
      </c>
      <c r="R17" s="275"/>
      <c r="S17" s="170"/>
      <c r="T17" s="176"/>
    </row>
    <row r="18" spans="2:20" ht="16.5" customHeight="1">
      <c r="B18" s="458"/>
      <c r="C18" s="290" t="s">
        <v>142</v>
      </c>
      <c r="D18" s="295">
        <v>48.7980330555935</v>
      </c>
      <c r="E18" s="246">
        <v>45.06117252633517</v>
      </c>
      <c r="F18" s="246">
        <v>53.529546997131781</v>
      </c>
      <c r="G18" s="246">
        <v>52.106713813478308</v>
      </c>
      <c r="H18" s="246">
        <v>47.426337662901354</v>
      </c>
      <c r="I18" s="246">
        <v>53.562256692819069</v>
      </c>
      <c r="J18" s="246">
        <v>52.252411287958218</v>
      </c>
      <c r="K18" s="264">
        <v>53.110747669764784</v>
      </c>
      <c r="L18" s="270">
        <v>48.528541830392228</v>
      </c>
      <c r="M18" s="247">
        <v>41.74164859002169</v>
      </c>
      <c r="N18" s="247">
        <v>33.484166810866931</v>
      </c>
      <c r="O18" s="247">
        <v>40.576483107209363</v>
      </c>
      <c r="P18" s="280">
        <v>30.956427015250544</v>
      </c>
      <c r="Q18" s="285">
        <f>SUMPRODUCT(D18:P18,GC_Estim1_07_SURF_24_25!D18:P18)/GC_Estim1_07_SURF_24_25!Q18</f>
        <v>51.374918302649732</v>
      </c>
      <c r="R18" s="275"/>
      <c r="S18" s="170"/>
      <c r="T18" s="176"/>
    </row>
    <row r="19" spans="2:20" ht="16.5" customHeight="1">
      <c r="B19" s="458"/>
      <c r="C19" s="291" t="s">
        <v>112</v>
      </c>
      <c r="D19" s="427">
        <v>-5.6603773584905648E-2</v>
      </c>
      <c r="E19" s="428">
        <v>0.16943359375</v>
      </c>
      <c r="F19" s="428">
        <v>1.7645988721120665E-2</v>
      </c>
      <c r="G19" s="428">
        <v>0.17317958573563952</v>
      </c>
      <c r="H19" s="428">
        <v>8.7524493794905345E-2</v>
      </c>
      <c r="I19" s="428">
        <v>4.2997020008514353E-2</v>
      </c>
      <c r="J19" s="428">
        <v>7.7544737348470338E-2</v>
      </c>
      <c r="K19" s="429">
        <v>0.20133481646273621</v>
      </c>
      <c r="L19" s="427">
        <v>0.20092147435897445</v>
      </c>
      <c r="M19" s="428">
        <v>-1.0229132569559152E-3</v>
      </c>
      <c r="N19" s="428">
        <v>0.1633986928104576</v>
      </c>
      <c r="O19" s="428">
        <v>-7.7329110583267302E-2</v>
      </c>
      <c r="P19" s="430">
        <v>1.7602012297372833</v>
      </c>
      <c r="Q19" s="431">
        <f>Q15/Q16-1</f>
        <v>0.10931922381146086</v>
      </c>
      <c r="R19" s="274"/>
      <c r="S19" s="170"/>
    </row>
    <row r="20" spans="2:20" ht="16.5" customHeight="1">
      <c r="B20" s="458"/>
      <c r="C20" s="291" t="s">
        <v>168</v>
      </c>
      <c r="D20" s="427">
        <v>8.1467170431040792E-2</v>
      </c>
      <c r="E20" s="428">
        <v>0.11234081299372267</v>
      </c>
      <c r="F20" s="428">
        <v>0.11350349659084613</v>
      </c>
      <c r="G20" s="428">
        <v>0.16963441919443323</v>
      </c>
      <c r="H20" s="428">
        <v>7.5382146468717437E-2</v>
      </c>
      <c r="I20" s="428">
        <v>-2.1133031244434664E-2</v>
      </c>
      <c r="J20" s="428">
        <v>0.12156854360213387</v>
      </c>
      <c r="K20" s="429">
        <v>0.12362609286615811</v>
      </c>
      <c r="L20" s="427">
        <v>0.29503660540863597</v>
      </c>
      <c r="M20" s="428">
        <v>0.22644921731966305</v>
      </c>
      <c r="N20" s="428">
        <v>0.50023284173955784</v>
      </c>
      <c r="O20" s="428">
        <v>-0.10050783252278495</v>
      </c>
      <c r="P20" s="430">
        <v>0.70838972271686584</v>
      </c>
      <c r="Q20" s="431">
        <f>Q15/Q17-1</f>
        <v>0.13812638461611337</v>
      </c>
      <c r="R20" s="274"/>
      <c r="S20" s="170"/>
    </row>
    <row r="21" spans="2:20" ht="16.5" customHeight="1" thickBot="1">
      <c r="B21" s="459"/>
      <c r="C21" s="292" t="s">
        <v>169</v>
      </c>
      <c r="D21" s="432">
        <v>2.4631462973869311E-2</v>
      </c>
      <c r="E21" s="433">
        <v>6.2999414229750306E-2</v>
      </c>
      <c r="F21" s="433">
        <v>4.5030326951905231E-2</v>
      </c>
      <c r="G21" s="433">
        <v>5.437468570103543E-2</v>
      </c>
      <c r="H21" s="433">
        <v>5.3212254233848455E-2</v>
      </c>
      <c r="I21" s="433">
        <v>-8.5176707900560089E-2</v>
      </c>
      <c r="J21" s="433">
        <v>7.1720876025972657E-2</v>
      </c>
      <c r="K21" s="434">
        <v>1.6743359286983894E-2</v>
      </c>
      <c r="L21" s="432">
        <v>0.23535547821580738</v>
      </c>
      <c r="M21" s="433">
        <v>0.16981484079842435</v>
      </c>
      <c r="N21" s="433">
        <v>0.48846469083486221</v>
      </c>
      <c r="O21" s="433">
        <v>-0.13841719826653631</v>
      </c>
      <c r="P21" s="435">
        <v>0.595145330424379</v>
      </c>
      <c r="Q21" s="436">
        <f>Q15/Q18-1</f>
        <v>5.4090916301093639E-2</v>
      </c>
      <c r="R21" s="275"/>
      <c r="S21" s="170"/>
    </row>
    <row r="22" spans="2:20" ht="15.65" customHeight="1">
      <c r="B22" s="457" t="s">
        <v>153</v>
      </c>
      <c r="C22" s="293" t="s">
        <v>155</v>
      </c>
      <c r="D22" s="297">
        <v>44.49</v>
      </c>
      <c r="E22" s="258">
        <v>41.8</v>
      </c>
      <c r="F22" s="258">
        <v>54.62</v>
      </c>
      <c r="G22" s="258">
        <v>50.91</v>
      </c>
      <c r="H22" s="258">
        <v>40</v>
      </c>
      <c r="I22" s="258">
        <v>0</v>
      </c>
      <c r="J22" s="258">
        <v>51.2</v>
      </c>
      <c r="K22" s="263">
        <v>50</v>
      </c>
      <c r="L22" s="269">
        <v>49.86</v>
      </c>
      <c r="M22" s="259">
        <v>53.86</v>
      </c>
      <c r="N22" s="259">
        <v>44.96</v>
      </c>
      <c r="O22" s="259">
        <v>28</v>
      </c>
      <c r="P22" s="279">
        <v>50</v>
      </c>
      <c r="Q22" s="284">
        <f>SUMPRODUCT(D22:P22,GC_Estim1_07_SURF_24_25!D22:P22)/GC_Estim1_07_SURF_24_25!Q22</f>
        <v>51.59644555884811</v>
      </c>
      <c r="R22" s="274"/>
      <c r="S22" s="170"/>
      <c r="T22" s="176"/>
    </row>
    <row r="23" spans="2:20" ht="15.65" customHeight="1">
      <c r="B23" s="458"/>
      <c r="C23" s="289" t="s">
        <v>144</v>
      </c>
      <c r="D23" s="295">
        <v>49.81</v>
      </c>
      <c r="E23" s="246">
        <v>40.03</v>
      </c>
      <c r="F23" s="246">
        <v>49.95</v>
      </c>
      <c r="G23" s="246">
        <v>50.56</v>
      </c>
      <c r="H23" s="246">
        <v>38.28</v>
      </c>
      <c r="I23" s="246">
        <v>49</v>
      </c>
      <c r="J23" s="246">
        <v>47.63</v>
      </c>
      <c r="K23" s="264">
        <v>45.89</v>
      </c>
      <c r="L23" s="270">
        <v>42.78</v>
      </c>
      <c r="M23" s="247">
        <v>53.93</v>
      </c>
      <c r="N23" s="247">
        <v>41.94</v>
      </c>
      <c r="O23" s="247">
        <v>31</v>
      </c>
      <c r="P23" s="280">
        <v>10</v>
      </c>
      <c r="Q23" s="285">
        <f>SUMPRODUCT(D23:P23,GC_Estim1_07_SURF_24_25!D23:P23)/GC_Estim1_07_SURF_24_25!Q23</f>
        <v>47.900716020213956</v>
      </c>
      <c r="R23" s="275"/>
      <c r="S23" s="170"/>
      <c r="T23" s="176"/>
    </row>
    <row r="24" spans="2:20" ht="17.149999999999999" customHeight="1">
      <c r="B24" s="458"/>
      <c r="C24" s="290" t="s">
        <v>141</v>
      </c>
      <c r="D24" s="295">
        <v>45.452141057934512</v>
      </c>
      <c r="E24" s="246">
        <v>39.834801762114537</v>
      </c>
      <c r="F24" s="246">
        <v>48.903497167667311</v>
      </c>
      <c r="G24" s="246">
        <v>49.661703731624577</v>
      </c>
      <c r="H24" s="246">
        <v>41.176923076923075</v>
      </c>
      <c r="I24" s="246">
        <v>46.25</v>
      </c>
      <c r="J24" s="246">
        <v>46.02040220736496</v>
      </c>
      <c r="K24" s="264">
        <v>46.123028391167189</v>
      </c>
      <c r="L24" s="270">
        <v>39.905275779376495</v>
      </c>
      <c r="M24" s="247">
        <v>42.822056030389362</v>
      </c>
      <c r="N24" s="247">
        <v>32.072992700729927</v>
      </c>
      <c r="O24" s="247">
        <v>30.7</v>
      </c>
      <c r="P24" s="280">
        <v>27.767790262172284</v>
      </c>
      <c r="Q24" s="285">
        <f>SUMPRODUCT(D24:P24,GC_Estim1_07_SURF_24_25!D24:P24)/GC_Estim1_07_SURF_24_25!Q24</f>
        <v>44.7133453357525</v>
      </c>
      <c r="R24" s="276"/>
      <c r="S24" s="170"/>
    </row>
    <row r="25" spans="2:20" ht="17.149999999999999" customHeight="1">
      <c r="B25" s="458"/>
      <c r="C25" s="290" t="s">
        <v>142</v>
      </c>
      <c r="D25" s="295">
        <v>47.580527752502277</v>
      </c>
      <c r="E25" s="246">
        <v>42.419463087248324</v>
      </c>
      <c r="F25" s="246">
        <v>52.135721714379549</v>
      </c>
      <c r="G25" s="246">
        <v>51.393937056464054</v>
      </c>
      <c r="H25" s="246">
        <v>43.955607476635514</v>
      </c>
      <c r="I25" s="246">
        <v>48.280701754385966</v>
      </c>
      <c r="J25" s="246">
        <v>49.245508293987385</v>
      </c>
      <c r="K25" s="264">
        <v>51.210978088999319</v>
      </c>
      <c r="L25" s="270">
        <v>42.751969928439337</v>
      </c>
      <c r="M25" s="247">
        <v>40.650201612903224</v>
      </c>
      <c r="N25" s="247">
        <v>31.378410129225948</v>
      </c>
      <c r="O25" s="247">
        <v>33.161290322580648</v>
      </c>
      <c r="P25" s="280">
        <v>35.277353689567427</v>
      </c>
      <c r="Q25" s="285">
        <f>SUMPRODUCT(D25:P25,GC_Estim1_07_SURF_24_25!D25:P25)/GC_Estim1_07_SURF_24_25!Q25</f>
        <v>46.787104186380276</v>
      </c>
      <c r="R25" s="276"/>
      <c r="S25" s="170"/>
    </row>
    <row r="26" spans="2:20" ht="17.149999999999999" customHeight="1">
      <c r="B26" s="458"/>
      <c r="C26" s="291" t="s">
        <v>112</v>
      </c>
      <c r="D26" s="427">
        <v>-0.10680586227665123</v>
      </c>
      <c r="E26" s="428">
        <v>4.4216837371970907E-2</v>
      </c>
      <c r="F26" s="428">
        <v>9.3493493493493451E-2</v>
      </c>
      <c r="G26" s="428">
        <v>6.9224683544302223E-3</v>
      </c>
      <c r="H26" s="428">
        <v>4.4932079414838011E-2</v>
      </c>
      <c r="I26" s="428">
        <v>-1</v>
      </c>
      <c r="J26" s="428">
        <v>7.4952760865001133E-2</v>
      </c>
      <c r="K26" s="429">
        <v>8.9561996077576866E-2</v>
      </c>
      <c r="L26" s="427">
        <v>0.16549789621318367</v>
      </c>
      <c r="M26" s="428">
        <v>-1.2979788614870813E-3</v>
      </c>
      <c r="N26" s="428">
        <v>7.2007629947544283E-2</v>
      </c>
      <c r="O26" s="428">
        <v>-9.6774193548387122E-2</v>
      </c>
      <c r="P26" s="430">
        <v>4</v>
      </c>
      <c r="Q26" s="431">
        <f>Q22/Q23-1</f>
        <v>7.7153951875678972E-2</v>
      </c>
      <c r="R26" s="276"/>
      <c r="S26" s="170"/>
    </row>
    <row r="27" spans="2:20" ht="17.149999999999999" customHeight="1">
      <c r="B27" s="458"/>
      <c r="C27" s="291" t="s">
        <v>168</v>
      </c>
      <c r="D27" s="427">
        <v>-2.1168223004239484E-2</v>
      </c>
      <c r="E27" s="428">
        <v>4.9333701962952725E-2</v>
      </c>
      <c r="F27" s="428">
        <v>0.1168935385691019</v>
      </c>
      <c r="G27" s="428">
        <v>2.5135993624409325E-2</v>
      </c>
      <c r="H27" s="428">
        <v>-2.8582103493368094E-2</v>
      </c>
      <c r="I27" s="428">
        <v>-1</v>
      </c>
      <c r="J27" s="428">
        <v>0.11255003312000866</v>
      </c>
      <c r="K27" s="429">
        <v>8.4057178031598401E-2</v>
      </c>
      <c r="L27" s="427">
        <v>0.2494588503951205</v>
      </c>
      <c r="M27" s="428">
        <v>0.25776305466924287</v>
      </c>
      <c r="N27" s="428">
        <v>0.40180245789713243</v>
      </c>
      <c r="O27" s="428">
        <v>-8.794788273615628E-2</v>
      </c>
      <c r="P27" s="430">
        <v>0.8006474237928245</v>
      </c>
      <c r="Q27" s="431">
        <f>Q22/Q24-1</f>
        <v>0.15393838621132927</v>
      </c>
      <c r="R27" s="276"/>
      <c r="S27" s="170"/>
    </row>
    <row r="28" spans="2:20" ht="13.5" customHeight="1" thickBot="1">
      <c r="B28" s="459"/>
      <c r="C28" s="292" t="s">
        <v>169</v>
      </c>
      <c r="D28" s="432">
        <v>-6.4953624906771701E-2</v>
      </c>
      <c r="E28" s="433">
        <v>-1.4603275057353149E-2</v>
      </c>
      <c r="F28" s="433">
        <v>4.7650213786821993E-2</v>
      </c>
      <c r="G28" s="433">
        <v>-9.416228531633597E-3</v>
      </c>
      <c r="H28" s="433">
        <v>-8.9990963695317117E-2</v>
      </c>
      <c r="I28" s="433">
        <v>-1</v>
      </c>
      <c r="J28" s="433">
        <v>3.9688730479633394E-2</v>
      </c>
      <c r="K28" s="434">
        <v>-2.3646845543445094E-2</v>
      </c>
      <c r="L28" s="432">
        <v>0.16626204788828414</v>
      </c>
      <c r="M28" s="433">
        <v>0.32496267823930558</v>
      </c>
      <c r="N28" s="433">
        <v>0.43283231415616297</v>
      </c>
      <c r="O28" s="433">
        <v>-0.15564202334630362</v>
      </c>
      <c r="P28" s="435">
        <v>0.41733987305251019</v>
      </c>
      <c r="Q28" s="436">
        <f>Q22/Q25-1</f>
        <v>0.10279202904521356</v>
      </c>
      <c r="R28" s="267"/>
      <c r="S28" s="170"/>
    </row>
    <row r="29" spans="2:20" ht="15" customHeight="1">
      <c r="B29" s="457" t="s">
        <v>96</v>
      </c>
      <c r="C29" s="293" t="s">
        <v>155</v>
      </c>
      <c r="D29" s="297">
        <v>45</v>
      </c>
      <c r="E29" s="258">
        <v>51</v>
      </c>
      <c r="F29" s="258">
        <v>48</v>
      </c>
      <c r="G29" s="258">
        <v>47</v>
      </c>
      <c r="H29" s="258">
        <v>55</v>
      </c>
      <c r="I29" s="258">
        <v>48</v>
      </c>
      <c r="J29" s="258">
        <v>53</v>
      </c>
      <c r="K29" s="263">
        <v>56</v>
      </c>
      <c r="L29" s="269">
        <v>60</v>
      </c>
      <c r="M29" s="259">
        <v>41</v>
      </c>
      <c r="N29" s="259">
        <v>50</v>
      </c>
      <c r="O29" s="259">
        <v>35</v>
      </c>
      <c r="P29" s="279">
        <v>32</v>
      </c>
      <c r="Q29" s="284">
        <f>SUMPRODUCT(D29:P29,GC_Estim1_07_SURF_24_25!D29:P29)/GC_Estim1_07_SURF_24_25!Q29</f>
        <v>50.924496151360245</v>
      </c>
      <c r="R29" s="277"/>
      <c r="S29" s="170"/>
      <c r="T29" s="176"/>
    </row>
    <row r="30" spans="2:20" ht="15" customHeight="1">
      <c r="B30" s="458"/>
      <c r="C30" s="289" t="s">
        <v>144</v>
      </c>
      <c r="D30" s="295">
        <v>55</v>
      </c>
      <c r="E30" s="246">
        <v>48</v>
      </c>
      <c r="F30" s="246">
        <v>47</v>
      </c>
      <c r="G30" s="246">
        <v>40</v>
      </c>
      <c r="H30" s="246">
        <v>44</v>
      </c>
      <c r="I30" s="246">
        <v>44</v>
      </c>
      <c r="J30" s="246">
        <v>44</v>
      </c>
      <c r="K30" s="264">
        <v>37</v>
      </c>
      <c r="L30" s="270">
        <v>40</v>
      </c>
      <c r="M30" s="247">
        <v>46</v>
      </c>
      <c r="N30" s="247">
        <v>48</v>
      </c>
      <c r="O30" s="247">
        <v>40</v>
      </c>
      <c r="P30" s="280">
        <v>14</v>
      </c>
      <c r="Q30" s="285">
        <f>SUMPRODUCT(D30:P30,GC_Estim1_07_SURF_24_25!D30:P30)/GC_Estim1_07_SURF_24_25!Q30</f>
        <v>44.38466108239767</v>
      </c>
      <c r="R30" s="277"/>
      <c r="S30" s="170"/>
      <c r="T30" s="176"/>
    </row>
    <row r="31" spans="2:20" ht="15" customHeight="1">
      <c r="B31" s="458"/>
      <c r="C31" s="290" t="s">
        <v>141</v>
      </c>
      <c r="D31" s="295">
        <v>48.872460496613996</v>
      </c>
      <c r="E31" s="246">
        <v>44.684432741635263</v>
      </c>
      <c r="F31" s="246">
        <v>45.183968005564253</v>
      </c>
      <c r="G31" s="246">
        <v>42.514762922504552</v>
      </c>
      <c r="H31" s="246">
        <v>43.837401002101181</v>
      </c>
      <c r="I31" s="246">
        <v>50.377760252365931</v>
      </c>
      <c r="J31" s="246">
        <v>45.692132858102177</v>
      </c>
      <c r="K31" s="264">
        <v>43.769977092036115</v>
      </c>
      <c r="L31" s="270">
        <v>43.261899939234354</v>
      </c>
      <c r="M31" s="247">
        <v>39.399411187438666</v>
      </c>
      <c r="N31" s="247">
        <v>36.420640104506859</v>
      </c>
      <c r="O31" s="247">
        <v>39.017592592592592</v>
      </c>
      <c r="P31" s="280">
        <v>25.862745098039216</v>
      </c>
      <c r="Q31" s="285">
        <f>SUMPRODUCT(D31:P31,GC_Estim1_07_SURF_24_25!D31:P31)/GC_Estim1_07_SURF_24_25!Q31</f>
        <v>44.209399916072179</v>
      </c>
      <c r="R31" s="277"/>
      <c r="S31" s="170"/>
      <c r="T31" s="176"/>
    </row>
    <row r="32" spans="2:20" ht="15" customHeight="1">
      <c r="B32" s="458"/>
      <c r="C32" s="290" t="s">
        <v>142</v>
      </c>
      <c r="D32" s="295">
        <v>47.681370005189414</v>
      </c>
      <c r="E32" s="246">
        <v>47.252336033736547</v>
      </c>
      <c r="F32" s="246">
        <v>49.048183708685457</v>
      </c>
      <c r="G32" s="246">
        <v>48.170110714414513</v>
      </c>
      <c r="H32" s="246">
        <v>45.79130247886517</v>
      </c>
      <c r="I32" s="246">
        <v>52.440363186132892</v>
      </c>
      <c r="J32" s="246">
        <v>49.270445650801669</v>
      </c>
      <c r="K32" s="264">
        <v>48.856504438322624</v>
      </c>
      <c r="L32" s="270">
        <v>47.470654167515796</v>
      </c>
      <c r="M32" s="247">
        <v>40.191961191961191</v>
      </c>
      <c r="N32" s="247">
        <v>36.082827561585148</v>
      </c>
      <c r="O32" s="247">
        <v>38.977125693160815</v>
      </c>
      <c r="P32" s="280">
        <v>28.585106382978722</v>
      </c>
      <c r="Q32" s="285">
        <f>SUMPRODUCT(D32:P32,GC_Estim1_07_SURF_24_25!D32:P32)/GC_Estim1_07_SURF_24_25!Q32</f>
        <v>47.599279867371258</v>
      </c>
      <c r="R32" s="277"/>
      <c r="S32" s="170"/>
      <c r="T32" s="176"/>
    </row>
    <row r="33" spans="2:20" ht="15" customHeight="1">
      <c r="B33" s="458"/>
      <c r="C33" s="291" t="s">
        <v>112</v>
      </c>
      <c r="D33" s="427">
        <v>-0.18181818181818177</v>
      </c>
      <c r="E33" s="428">
        <v>6.25E-2</v>
      </c>
      <c r="F33" s="428">
        <v>2.1276595744680771E-2</v>
      </c>
      <c r="G33" s="428">
        <v>0.17500000000000004</v>
      </c>
      <c r="H33" s="428">
        <v>0.25</v>
      </c>
      <c r="I33" s="428">
        <v>9.0909090909090828E-2</v>
      </c>
      <c r="J33" s="428">
        <v>0.20454545454545459</v>
      </c>
      <c r="K33" s="429">
        <v>0.5135135135135136</v>
      </c>
      <c r="L33" s="427">
        <v>0.5</v>
      </c>
      <c r="M33" s="428">
        <v>-0.10869565217391308</v>
      </c>
      <c r="N33" s="428">
        <v>4.1666666666666741E-2</v>
      </c>
      <c r="O33" s="428">
        <v>-0.125</v>
      </c>
      <c r="P33" s="430">
        <v>1.2857142857142856</v>
      </c>
      <c r="Q33" s="431">
        <f>Q29/Q30-1</f>
        <v>0.14734448589844429</v>
      </c>
      <c r="R33" s="267"/>
      <c r="S33" s="448"/>
      <c r="T33" s="176"/>
    </row>
    <row r="34" spans="2:20" ht="15" customHeight="1">
      <c r="B34" s="458"/>
      <c r="C34" s="291" t="s">
        <v>168</v>
      </c>
      <c r="D34" s="427">
        <v>-7.9236045356920193E-2</v>
      </c>
      <c r="E34" s="428">
        <v>0.14133708029553049</v>
      </c>
      <c r="F34" s="428">
        <v>6.2323698398709881E-2</v>
      </c>
      <c r="G34" s="428">
        <v>0.10549834384990198</v>
      </c>
      <c r="H34" s="428">
        <v>0.25463642329899483</v>
      </c>
      <c r="I34" s="428">
        <v>-4.719860987178881E-2</v>
      </c>
      <c r="J34" s="428">
        <v>0.1599370982438606</v>
      </c>
      <c r="K34" s="429">
        <v>0.27941579412407602</v>
      </c>
      <c r="L34" s="427">
        <v>0.38690164057232757</v>
      </c>
      <c r="M34" s="428">
        <v>4.062468865198765E-2</v>
      </c>
      <c r="N34" s="428">
        <v>0.3728479196556671</v>
      </c>
      <c r="O34" s="428">
        <v>-0.10296874629203345</v>
      </c>
      <c r="P34" s="430">
        <v>0.23730098559514778</v>
      </c>
      <c r="Q34" s="431">
        <f>Q29/Q31-1</f>
        <v>0.15189295145457993</v>
      </c>
      <c r="R34" s="182"/>
      <c r="S34" s="170"/>
    </row>
    <row r="35" spans="2:20" ht="15" customHeight="1" thickBot="1">
      <c r="B35" s="459"/>
      <c r="C35" s="292" t="s">
        <v>169</v>
      </c>
      <c r="D35" s="432">
        <v>-5.6235171197840716E-2</v>
      </c>
      <c r="E35" s="433">
        <v>7.9311718336798176E-2</v>
      </c>
      <c r="F35" s="433">
        <v>-2.1370489780233037E-2</v>
      </c>
      <c r="G35" s="433">
        <v>-2.4291219120332386E-2</v>
      </c>
      <c r="H35" s="433">
        <v>0.20110145426383275</v>
      </c>
      <c r="I35" s="433">
        <v>-8.4674531531602426E-2</v>
      </c>
      <c r="J35" s="433">
        <v>7.5695567595046587E-2</v>
      </c>
      <c r="K35" s="434">
        <v>0.14621380804464756</v>
      </c>
      <c r="L35" s="432">
        <v>0.26393876495298119</v>
      </c>
      <c r="M35" s="433">
        <v>2.0104488163180889E-2</v>
      </c>
      <c r="N35" s="433">
        <v>0.38570071634938863</v>
      </c>
      <c r="O35" s="433">
        <v>-0.10203742893896017</v>
      </c>
      <c r="P35" s="435">
        <v>0.11946408634164496</v>
      </c>
      <c r="Q35" s="436">
        <f>Q29/Q32-1</f>
        <v>6.9858541836226085E-2</v>
      </c>
      <c r="R35" s="276"/>
      <c r="S35" s="170"/>
    </row>
    <row r="36" spans="2:20" ht="18.649999999999999" customHeight="1">
      <c r="B36" s="457" t="s">
        <v>97</v>
      </c>
      <c r="C36" s="293" t="s">
        <v>155</v>
      </c>
      <c r="D36" s="297">
        <v>38</v>
      </c>
      <c r="E36" s="258">
        <v>33</v>
      </c>
      <c r="F36" s="258">
        <v>38</v>
      </c>
      <c r="G36" s="258">
        <v>34</v>
      </c>
      <c r="H36" s="258">
        <v>38</v>
      </c>
      <c r="I36" s="258">
        <v>40</v>
      </c>
      <c r="J36" s="258">
        <v>35</v>
      </c>
      <c r="K36" s="263">
        <v>34</v>
      </c>
      <c r="L36" s="269">
        <v>53</v>
      </c>
      <c r="M36" s="259">
        <v>37</v>
      </c>
      <c r="N36" s="259">
        <v>45</v>
      </c>
      <c r="O36" s="259">
        <v>30</v>
      </c>
      <c r="P36" s="279">
        <v>24</v>
      </c>
      <c r="Q36" s="284">
        <f>SUMPRODUCT(D36:P36,GC_Estim1_07_SURF_24_25!D36:P36)/GC_Estim1_07_SURF_24_25!Q36</f>
        <v>36.598698481561819</v>
      </c>
      <c r="R36" s="267"/>
      <c r="S36" s="170"/>
      <c r="T36" s="176"/>
    </row>
    <row r="37" spans="2:20" ht="14">
      <c r="B37" s="458"/>
      <c r="C37" s="289" t="s">
        <v>144</v>
      </c>
      <c r="D37" s="295">
        <v>39</v>
      </c>
      <c r="E37" s="246">
        <v>33</v>
      </c>
      <c r="F37" s="246">
        <v>39</v>
      </c>
      <c r="G37" s="246">
        <v>32</v>
      </c>
      <c r="H37" s="246">
        <v>40</v>
      </c>
      <c r="I37" s="246">
        <v>32</v>
      </c>
      <c r="J37" s="246">
        <v>33</v>
      </c>
      <c r="K37" s="264">
        <v>30</v>
      </c>
      <c r="L37" s="270">
        <v>34</v>
      </c>
      <c r="M37" s="247">
        <v>41</v>
      </c>
      <c r="N37" s="247">
        <v>41</v>
      </c>
      <c r="O37" s="247">
        <v>30</v>
      </c>
      <c r="P37" s="280">
        <v>12</v>
      </c>
      <c r="Q37" s="285">
        <f>SUMPRODUCT(D37:P37,GC_Estim1_07_SURF_24_25!D37:P37)/GC_Estim1_07_SURF_24_25!Q37</f>
        <v>34.365432098765432</v>
      </c>
      <c r="R37" s="276"/>
      <c r="S37" s="170"/>
      <c r="T37" s="176"/>
    </row>
    <row r="38" spans="2:20" ht="14">
      <c r="B38" s="458"/>
      <c r="C38" s="290" t="s">
        <v>141</v>
      </c>
      <c r="D38" s="295">
        <v>38.225806451612904</v>
      </c>
      <c r="E38" s="246">
        <v>32.531409168081495</v>
      </c>
      <c r="F38" s="246">
        <v>38.176443629697523</v>
      </c>
      <c r="G38" s="246">
        <v>34.032173342087987</v>
      </c>
      <c r="H38" s="246">
        <v>38.493397358943575</v>
      </c>
      <c r="I38" s="246">
        <v>39.686956521739127</v>
      </c>
      <c r="J38" s="246">
        <v>34.697916666666664</v>
      </c>
      <c r="K38" s="264">
        <v>34.493127147766323</v>
      </c>
      <c r="L38" s="270">
        <v>35.813465783664462</v>
      </c>
      <c r="M38" s="247">
        <v>34.762214983713356</v>
      </c>
      <c r="N38" s="247">
        <v>30.347328244274809</v>
      </c>
      <c r="O38" s="247">
        <v>33.211829436038514</v>
      </c>
      <c r="P38" s="280">
        <v>20</v>
      </c>
      <c r="Q38" s="285">
        <f>SUMPRODUCT(D38:P38,GC_Estim1_07_SURF_24_25!D38:P38)/GC_Estim1_07_SURF_24_25!Q38</f>
        <v>35.161354108993116</v>
      </c>
      <c r="R38" s="276"/>
      <c r="S38" s="170"/>
      <c r="T38" s="176"/>
    </row>
    <row r="39" spans="2:20" ht="14">
      <c r="B39" s="458"/>
      <c r="C39" s="290" t="s">
        <v>142</v>
      </c>
      <c r="D39" s="295">
        <v>39.398891966759003</v>
      </c>
      <c r="E39" s="246">
        <v>35.639048400328136</v>
      </c>
      <c r="F39" s="246">
        <v>39.563145618127294</v>
      </c>
      <c r="G39" s="246">
        <v>37.418471056120197</v>
      </c>
      <c r="H39" s="246">
        <v>39.485422740524783</v>
      </c>
      <c r="I39" s="246">
        <v>40.476190476190474</v>
      </c>
      <c r="J39" s="246">
        <v>37.288374433819826</v>
      </c>
      <c r="K39" s="264">
        <v>36.461388708630757</v>
      </c>
      <c r="L39" s="270">
        <v>38.571193415637858</v>
      </c>
      <c r="M39" s="247">
        <v>35.938447814451379</v>
      </c>
      <c r="N39" s="247">
        <v>30.863930885529157</v>
      </c>
      <c r="O39" s="247">
        <v>33.634296250768287</v>
      </c>
      <c r="P39" s="280">
        <v>24.38</v>
      </c>
      <c r="Q39" s="285">
        <f>SUMPRODUCT(D39:P39,GC_Estim1_07_SURF_24_25!D39:P39)/GC_Estim1_07_SURF_24_25!Q39</f>
        <v>37.129427175172552</v>
      </c>
      <c r="R39" s="276"/>
      <c r="S39" s="170"/>
      <c r="T39" s="176"/>
    </row>
    <row r="40" spans="2:20" ht="14">
      <c r="B40" s="458"/>
      <c r="C40" s="291" t="s">
        <v>112</v>
      </c>
      <c r="D40" s="427">
        <v>-2.5641025641025661E-2</v>
      </c>
      <c r="E40" s="428">
        <v>0</v>
      </c>
      <c r="F40" s="428">
        <v>-2.5641025641025661E-2</v>
      </c>
      <c r="G40" s="428">
        <v>6.25E-2</v>
      </c>
      <c r="H40" s="428">
        <v>-5.0000000000000044E-2</v>
      </c>
      <c r="I40" s="428">
        <v>0.25</v>
      </c>
      <c r="J40" s="428">
        <v>6.0606060606060552E-2</v>
      </c>
      <c r="K40" s="429">
        <v>0.1333333333333333</v>
      </c>
      <c r="L40" s="427">
        <v>0.55882352941176472</v>
      </c>
      <c r="M40" s="428">
        <v>-9.7560975609756073E-2</v>
      </c>
      <c r="N40" s="428">
        <v>9.7560975609756184E-2</v>
      </c>
      <c r="O40" s="428">
        <v>0</v>
      </c>
      <c r="P40" s="430">
        <v>1</v>
      </c>
      <c r="Q40" s="431">
        <f>Q36/Q37-1</f>
        <v>6.4985837407137259E-2</v>
      </c>
      <c r="R40" s="276"/>
      <c r="S40" s="170"/>
      <c r="T40" s="176"/>
    </row>
    <row r="41" spans="2:20" ht="22" customHeight="1">
      <c r="B41" s="458"/>
      <c r="C41" s="291" t="s">
        <v>168</v>
      </c>
      <c r="D41" s="427">
        <v>-5.9071729957805852E-3</v>
      </c>
      <c r="E41" s="428">
        <v>1.4404258650383639E-2</v>
      </c>
      <c r="F41" s="428">
        <v>-4.6217932557831576E-3</v>
      </c>
      <c r="G41" s="428">
        <v>-9.4538017788592388E-4</v>
      </c>
      <c r="H41" s="428">
        <v>-1.2817714018400039E-2</v>
      </c>
      <c r="I41" s="428">
        <v>7.8878177037686736E-3</v>
      </c>
      <c r="J41" s="428">
        <v>8.7060942659862306E-3</v>
      </c>
      <c r="K41" s="429">
        <v>-1.4296388542963889E-2</v>
      </c>
      <c r="L41" s="427">
        <v>0.47989028261472533</v>
      </c>
      <c r="M41" s="428">
        <v>6.4374062968515666E-2</v>
      </c>
      <c r="N41" s="428">
        <v>0.48283234813231046</v>
      </c>
      <c r="O41" s="428">
        <v>-9.6707392834955441E-2</v>
      </c>
      <c r="P41" s="430">
        <v>0.19999999999999996</v>
      </c>
      <c r="Q41" s="431">
        <f>Q36/Q38-1</f>
        <v>4.0878527263575437E-2</v>
      </c>
      <c r="R41" s="267"/>
      <c r="S41" s="170"/>
    </row>
    <row r="42" spans="2:20" ht="17.5" customHeight="1" thickBot="1">
      <c r="B42" s="459"/>
      <c r="C42" s="292" t="s">
        <v>169</v>
      </c>
      <c r="D42" s="432">
        <v>-3.5505870772692072E-2</v>
      </c>
      <c r="E42" s="433">
        <v>-7.4049350888500065E-2</v>
      </c>
      <c r="F42" s="433">
        <v>-3.9510144951949489E-2</v>
      </c>
      <c r="G42" s="433">
        <v>-9.135784973664951E-2</v>
      </c>
      <c r="H42" s="433">
        <v>-3.7619522280060602E-2</v>
      </c>
      <c r="I42" s="433">
        <v>-1.1764705882352899E-2</v>
      </c>
      <c r="J42" s="433">
        <v>-6.1369648545052002E-2</v>
      </c>
      <c r="K42" s="434">
        <v>-6.7506718635983343E-2</v>
      </c>
      <c r="L42" s="432">
        <v>0.3740824513485832</v>
      </c>
      <c r="M42" s="433">
        <v>2.9538064388016094E-2</v>
      </c>
      <c r="N42" s="433">
        <v>0.45801259622113366</v>
      </c>
      <c r="O42" s="433">
        <v>-0.10805328655227242</v>
      </c>
      <c r="P42" s="435">
        <v>-1.5586546349466768E-2</v>
      </c>
      <c r="Q42" s="436">
        <f>Q36/Q39-1</f>
        <v>-1.429401781791062E-2</v>
      </c>
      <c r="R42" s="277"/>
      <c r="S42" s="170"/>
    </row>
    <row r="43" spans="2:20" ht="17.149999999999999" customHeight="1">
      <c r="B43" s="457" t="s">
        <v>184</v>
      </c>
      <c r="C43" s="293" t="s">
        <v>155</v>
      </c>
      <c r="D43" s="342"/>
      <c r="E43" s="343"/>
      <c r="F43" s="343"/>
      <c r="G43" s="343"/>
      <c r="H43" s="343"/>
      <c r="I43" s="343"/>
      <c r="J43" s="343"/>
      <c r="K43" s="344"/>
      <c r="L43" s="342"/>
      <c r="M43" s="343"/>
      <c r="N43" s="343"/>
      <c r="O43" s="343"/>
      <c r="P43" s="345"/>
      <c r="Q43" s="346"/>
      <c r="R43" s="182"/>
      <c r="S43" s="170"/>
      <c r="T43" s="176"/>
    </row>
    <row r="44" spans="2:20" ht="17.149999999999999" customHeight="1">
      <c r="B44" s="458"/>
      <c r="C44" s="289" t="s">
        <v>144</v>
      </c>
      <c r="D44" s="295">
        <v>115.02</v>
      </c>
      <c r="E44" s="246">
        <v>95</v>
      </c>
      <c r="F44" s="246">
        <v>120</v>
      </c>
      <c r="G44" s="246">
        <v>103</v>
      </c>
      <c r="H44" s="246">
        <v>89.01</v>
      </c>
      <c r="I44" s="246">
        <v>120</v>
      </c>
      <c r="J44" s="246">
        <v>115</v>
      </c>
      <c r="K44" s="264">
        <v>106</v>
      </c>
      <c r="L44" s="270">
        <v>80</v>
      </c>
      <c r="M44" s="247">
        <v>80</v>
      </c>
      <c r="N44" s="247">
        <v>70</v>
      </c>
      <c r="O44" s="247">
        <v>0</v>
      </c>
      <c r="P44" s="280">
        <v>65</v>
      </c>
      <c r="Q44" s="285">
        <f>SUMPRODUCT(D44:P44,GC_Estim1_07_SURF_24_25!D44:P44)/GC_Estim1_07_SURF_24_25!Q44</f>
        <v>109.8749969087537</v>
      </c>
      <c r="R44" s="182"/>
      <c r="S44" s="170"/>
      <c r="T44" s="176"/>
    </row>
    <row r="45" spans="2:20" ht="17.149999999999999" customHeight="1">
      <c r="B45" s="458"/>
      <c r="C45" s="290" t="s">
        <v>141</v>
      </c>
      <c r="D45" s="295">
        <v>97.874318507890962</v>
      </c>
      <c r="E45" s="246">
        <v>94.508255563531947</v>
      </c>
      <c r="F45" s="246">
        <v>108.65735291665972</v>
      </c>
      <c r="G45" s="246">
        <v>99.85804371801035</v>
      </c>
      <c r="H45" s="246">
        <v>89.973783385220386</v>
      </c>
      <c r="I45" s="246">
        <v>114.58846842397679</v>
      </c>
      <c r="J45" s="246">
        <v>101.13417375589545</v>
      </c>
      <c r="K45" s="264">
        <v>108.69600969794929</v>
      </c>
      <c r="L45" s="270">
        <v>81.088213491475173</v>
      </c>
      <c r="M45" s="247">
        <v>78.353474320241688</v>
      </c>
      <c r="N45" s="247">
        <v>68.959064327485379</v>
      </c>
      <c r="O45" s="247">
        <v>0</v>
      </c>
      <c r="P45" s="280">
        <v>65.49704142011835</v>
      </c>
      <c r="Q45" s="285">
        <f>SUMPRODUCT(D45:P45,GC_Estim1_07_SURF_24_25!D45:P45)/GC_Estim1_07_SURF_24_25!Q45</f>
        <v>105.25689892401002</v>
      </c>
      <c r="R45" s="182"/>
      <c r="S45" s="170"/>
      <c r="T45" s="176"/>
    </row>
    <row r="46" spans="2:20" ht="17.149999999999999" customHeight="1">
      <c r="B46" s="458"/>
      <c r="C46" s="290" t="s">
        <v>142</v>
      </c>
      <c r="D46" s="295">
        <v>96.92303649196576</v>
      </c>
      <c r="E46" s="246">
        <v>96.916007532956684</v>
      </c>
      <c r="F46" s="246">
        <v>107.51608086121203</v>
      </c>
      <c r="G46" s="246">
        <v>100.12350585851034</v>
      </c>
      <c r="H46" s="246">
        <v>91.280848105665626</v>
      </c>
      <c r="I46" s="246">
        <v>113.82533668854278</v>
      </c>
      <c r="J46" s="246">
        <v>101.39608153572135</v>
      </c>
      <c r="K46" s="264">
        <v>105.90381926193334</v>
      </c>
      <c r="L46" s="270">
        <v>79.746685082872929</v>
      </c>
      <c r="M46" s="247">
        <v>78.827982426495439</v>
      </c>
      <c r="N46" s="247">
        <v>70.742290748898682</v>
      </c>
      <c r="O46" s="247">
        <v>0</v>
      </c>
      <c r="P46" s="280">
        <v>68.193037974683548</v>
      </c>
      <c r="Q46" s="285">
        <f>SUMPRODUCT(D46:P46,GC_Estim1_07_SURF_24_25!D46:P46)/GC_Estim1_07_SURF_24_25!Q46</f>
        <v>104.62207986978733</v>
      </c>
      <c r="R46" s="182"/>
      <c r="S46" s="170"/>
      <c r="T46" s="176"/>
    </row>
    <row r="47" spans="2:20" ht="15" customHeight="1">
      <c r="B47" s="458"/>
      <c r="C47" s="291" t="s">
        <v>112</v>
      </c>
      <c r="D47" s="298"/>
      <c r="E47" s="299"/>
      <c r="F47" s="299"/>
      <c r="G47" s="299"/>
      <c r="H47" s="299"/>
      <c r="I47" s="299"/>
      <c r="J47" s="299"/>
      <c r="K47" s="300"/>
      <c r="L47" s="298"/>
      <c r="M47" s="299"/>
      <c r="N47" s="299"/>
      <c r="O47" s="299"/>
      <c r="P47" s="301"/>
      <c r="Q47" s="302"/>
      <c r="R47" s="276"/>
      <c r="S47" s="170"/>
      <c r="T47" s="176"/>
    </row>
    <row r="48" spans="2:20" ht="15" customHeight="1">
      <c r="B48" s="458"/>
      <c r="C48" s="291" t="s">
        <v>168</v>
      </c>
      <c r="D48" s="298"/>
      <c r="E48" s="299"/>
      <c r="F48" s="299"/>
      <c r="G48" s="299"/>
      <c r="H48" s="299"/>
      <c r="I48" s="299"/>
      <c r="J48" s="299"/>
      <c r="K48" s="300"/>
      <c r="L48" s="298"/>
      <c r="M48" s="299"/>
      <c r="N48" s="299"/>
      <c r="O48" s="299"/>
      <c r="P48" s="301"/>
      <c r="Q48" s="302"/>
      <c r="R48" s="267"/>
      <c r="S48" s="170"/>
    </row>
    <row r="49" spans="2:20" ht="15" customHeight="1" thickBot="1">
      <c r="B49" s="459"/>
      <c r="C49" s="292" t="s">
        <v>169</v>
      </c>
      <c r="D49" s="347"/>
      <c r="E49" s="348"/>
      <c r="F49" s="348"/>
      <c r="G49" s="348"/>
      <c r="H49" s="348"/>
      <c r="I49" s="348"/>
      <c r="J49" s="348"/>
      <c r="K49" s="349"/>
      <c r="L49" s="347"/>
      <c r="M49" s="348"/>
      <c r="N49" s="348"/>
      <c r="O49" s="348"/>
      <c r="P49" s="350"/>
      <c r="Q49" s="351"/>
      <c r="R49" s="276"/>
      <c r="S49" s="170"/>
    </row>
    <row r="50" spans="2:20" ht="18.649999999999999" customHeight="1">
      <c r="B50" s="457" t="s">
        <v>185</v>
      </c>
      <c r="C50" s="293" t="s">
        <v>155</v>
      </c>
      <c r="D50" s="342"/>
      <c r="E50" s="343"/>
      <c r="F50" s="343"/>
      <c r="G50" s="343"/>
      <c r="H50" s="343"/>
      <c r="I50" s="343"/>
      <c r="J50" s="343"/>
      <c r="K50" s="344"/>
      <c r="L50" s="342"/>
      <c r="M50" s="343"/>
      <c r="N50" s="343"/>
      <c r="O50" s="343"/>
      <c r="P50" s="345"/>
      <c r="Q50" s="346"/>
      <c r="R50" s="277"/>
      <c r="S50" s="170"/>
      <c r="T50" s="176"/>
    </row>
    <row r="51" spans="2:20" ht="15" customHeight="1">
      <c r="B51" s="458"/>
      <c r="C51" s="289" t="s">
        <v>144</v>
      </c>
      <c r="D51" s="295">
        <v>51.986467236467234</v>
      </c>
      <c r="E51" s="246">
        <v>76</v>
      </c>
      <c r="F51" s="246">
        <v>87</v>
      </c>
      <c r="G51" s="246">
        <v>80.157850157850163</v>
      </c>
      <c r="H51" s="246">
        <v>65.987559808612446</v>
      </c>
      <c r="I51" s="246">
        <v>94</v>
      </c>
      <c r="J51" s="246">
        <v>80</v>
      </c>
      <c r="K51" s="264">
        <v>74.991057455846189</v>
      </c>
      <c r="L51" s="270">
        <v>50</v>
      </c>
      <c r="M51" s="247">
        <v>65</v>
      </c>
      <c r="N51" s="247">
        <v>59</v>
      </c>
      <c r="O51" s="247">
        <v>0</v>
      </c>
      <c r="P51" s="280">
        <v>0</v>
      </c>
      <c r="Q51" s="285">
        <f>SUMPRODUCT(D51:P51,GC_Estim1_07_SURF_24_25!D51:P51)/GC_Estim1_07_SURF_24_25!Q51</f>
        <v>83.279594387549395</v>
      </c>
      <c r="R51" s="267"/>
      <c r="S51" s="170"/>
      <c r="T51" s="176"/>
    </row>
    <row r="52" spans="2:20" ht="15" customHeight="1">
      <c r="B52" s="458"/>
      <c r="C52" s="290" t="s">
        <v>141</v>
      </c>
      <c r="D52" s="295">
        <v>57.769777242624926</v>
      </c>
      <c r="E52" s="246">
        <v>77.407370184254603</v>
      </c>
      <c r="F52" s="246">
        <v>68.665661449938469</v>
      </c>
      <c r="G52" s="246">
        <v>70.712451586320554</v>
      </c>
      <c r="H52" s="246">
        <v>68.1402417348027</v>
      </c>
      <c r="I52" s="246">
        <v>85.747921707301941</v>
      </c>
      <c r="J52" s="246">
        <v>120.54599085999169</v>
      </c>
      <c r="K52" s="264">
        <v>71.45895287450962</v>
      </c>
      <c r="L52" s="270">
        <v>60.208845208845212</v>
      </c>
      <c r="M52" s="247">
        <v>60.766129032258064</v>
      </c>
      <c r="N52" s="247">
        <v>54.66101694915254</v>
      </c>
      <c r="O52" s="247">
        <v>0</v>
      </c>
      <c r="P52" s="280">
        <v>50.294117647058826</v>
      </c>
      <c r="Q52" s="285">
        <f>SUMPRODUCT(D52:P52,GC_Estim1_07_SURF_24_25!D52:P52)/GC_Estim1_07_SURF_24_25!Q52</f>
        <v>76.380338066950515</v>
      </c>
      <c r="R52" s="267"/>
      <c r="S52" s="170"/>
      <c r="T52" s="176"/>
    </row>
    <row r="53" spans="2:20" ht="15" customHeight="1">
      <c r="B53" s="458"/>
      <c r="C53" s="290" t="s">
        <v>142</v>
      </c>
      <c r="D53" s="295">
        <v>61.665158371040725</v>
      </c>
      <c r="E53" s="246">
        <v>77.426004228329816</v>
      </c>
      <c r="F53" s="246">
        <v>64.610289035947247</v>
      </c>
      <c r="G53" s="246">
        <v>67.102905240293239</v>
      </c>
      <c r="H53" s="246">
        <v>72.404540763673893</v>
      </c>
      <c r="I53" s="246">
        <v>86.628549705098578</v>
      </c>
      <c r="J53" s="246">
        <v>83.630768191338419</v>
      </c>
      <c r="K53" s="264">
        <v>68.638761593016909</v>
      </c>
      <c r="L53" s="270">
        <v>69.281980450488732</v>
      </c>
      <c r="M53" s="247">
        <v>71.788876276958007</v>
      </c>
      <c r="N53" s="247">
        <v>68.086614173228341</v>
      </c>
      <c r="O53" s="247">
        <v>0</v>
      </c>
      <c r="P53" s="280">
        <v>59.333333333333336</v>
      </c>
      <c r="Q53" s="285">
        <f>SUMPRODUCT(D53:P53,GC_Estim1_07_SURF_24_25!D53:P53)/GC_Estim1_07_SURF_24_25!Q53</f>
        <v>73.449392876474136</v>
      </c>
      <c r="R53" s="267"/>
      <c r="S53" s="170"/>
      <c r="T53" s="176"/>
    </row>
    <row r="54" spans="2:20" ht="15" customHeight="1">
      <c r="B54" s="458"/>
      <c r="C54" s="291" t="s">
        <v>112</v>
      </c>
      <c r="D54" s="298"/>
      <c r="E54" s="299"/>
      <c r="F54" s="299"/>
      <c r="G54" s="299"/>
      <c r="H54" s="299"/>
      <c r="I54" s="299"/>
      <c r="J54" s="299"/>
      <c r="K54" s="300"/>
      <c r="L54" s="298"/>
      <c r="M54" s="299"/>
      <c r="N54" s="299"/>
      <c r="O54" s="299"/>
      <c r="P54" s="301"/>
      <c r="Q54" s="302"/>
      <c r="R54" s="267"/>
      <c r="S54" s="170"/>
      <c r="T54" s="176"/>
    </row>
    <row r="55" spans="2:20" ht="15" customHeight="1">
      <c r="B55" s="458"/>
      <c r="C55" s="291" t="s">
        <v>139</v>
      </c>
      <c r="D55" s="298"/>
      <c r="E55" s="299"/>
      <c r="F55" s="299"/>
      <c r="G55" s="299"/>
      <c r="H55" s="299"/>
      <c r="I55" s="299"/>
      <c r="J55" s="299"/>
      <c r="K55" s="300"/>
      <c r="L55" s="298"/>
      <c r="M55" s="299"/>
      <c r="N55" s="299"/>
      <c r="O55" s="299"/>
      <c r="P55" s="301"/>
      <c r="Q55" s="302"/>
      <c r="R55" s="182"/>
      <c r="S55" s="170"/>
    </row>
    <row r="56" spans="2:20" ht="15" customHeight="1" thickBot="1">
      <c r="B56" s="459"/>
      <c r="C56" s="292" t="s">
        <v>140</v>
      </c>
      <c r="D56" s="347"/>
      <c r="E56" s="348"/>
      <c r="F56" s="348"/>
      <c r="G56" s="348"/>
      <c r="H56" s="348"/>
      <c r="I56" s="348"/>
      <c r="J56" s="348"/>
      <c r="K56" s="349"/>
      <c r="L56" s="347"/>
      <c r="M56" s="348"/>
      <c r="N56" s="348"/>
      <c r="O56" s="348"/>
      <c r="P56" s="350"/>
      <c r="Q56" s="351"/>
      <c r="R56" s="277"/>
      <c r="S56" s="170"/>
    </row>
    <row r="57" spans="2:20" ht="13.5" customHeight="1">
      <c r="B57" s="457" t="s">
        <v>186</v>
      </c>
      <c r="C57" s="293" t="s">
        <v>155</v>
      </c>
      <c r="D57" s="342"/>
      <c r="E57" s="343"/>
      <c r="F57" s="343"/>
      <c r="G57" s="343"/>
      <c r="H57" s="343"/>
      <c r="I57" s="343"/>
      <c r="J57" s="343"/>
      <c r="K57" s="344"/>
      <c r="L57" s="342"/>
      <c r="M57" s="343"/>
      <c r="N57" s="343"/>
      <c r="O57" s="343"/>
      <c r="P57" s="345"/>
      <c r="Q57" s="346"/>
      <c r="R57" s="267"/>
      <c r="S57" s="170"/>
      <c r="T57" s="176"/>
    </row>
    <row r="58" spans="2:20" ht="14.5" customHeight="1">
      <c r="B58" s="458"/>
      <c r="C58" s="289" t="s">
        <v>144</v>
      </c>
      <c r="D58" s="295">
        <v>90.09</v>
      </c>
      <c r="E58" s="246">
        <v>84.23</v>
      </c>
      <c r="F58" s="246">
        <v>104.18</v>
      </c>
      <c r="G58" s="246">
        <v>96.44</v>
      </c>
      <c r="H58" s="246">
        <v>79.349999999999994</v>
      </c>
      <c r="I58" s="246">
        <v>108.48</v>
      </c>
      <c r="J58" s="246">
        <v>98.99</v>
      </c>
      <c r="K58" s="264">
        <v>97.66</v>
      </c>
      <c r="L58" s="270">
        <v>59.85</v>
      </c>
      <c r="M58" s="247">
        <v>76.95</v>
      </c>
      <c r="N58" s="247">
        <v>68.31</v>
      </c>
      <c r="O58" s="247">
        <v>0</v>
      </c>
      <c r="P58" s="280">
        <v>65</v>
      </c>
      <c r="Q58" s="285">
        <f>SUMPRODUCT(D58:P58,GC_Estim1_07_SURF_24_25!D58:P58)/GC_Estim1_07_SURF_24_25!Q58</f>
        <v>99.88879404973693</v>
      </c>
      <c r="R58" s="277"/>
      <c r="S58" s="170"/>
      <c r="T58" s="176"/>
    </row>
    <row r="59" spans="2:20" ht="14.5" customHeight="1">
      <c r="B59" s="458"/>
      <c r="C59" s="290" t="s">
        <v>141</v>
      </c>
      <c r="D59" s="295">
        <v>80.120149253731341</v>
      </c>
      <c r="E59" s="246">
        <v>82.848560986751949</v>
      </c>
      <c r="F59" s="246">
        <v>89.049591271392401</v>
      </c>
      <c r="G59" s="246">
        <v>91.10904530320046</v>
      </c>
      <c r="H59" s="246">
        <v>79.500980475743887</v>
      </c>
      <c r="I59" s="246">
        <v>101.80569323095325</v>
      </c>
      <c r="J59" s="246">
        <v>107.86250792005069</v>
      </c>
      <c r="K59" s="264">
        <v>97.734909184226282</v>
      </c>
      <c r="L59" s="270">
        <v>67.638617778950149</v>
      </c>
      <c r="M59" s="247">
        <v>74.495872641509436</v>
      </c>
      <c r="N59" s="247">
        <v>66.855361596009971</v>
      </c>
      <c r="O59" s="247">
        <v>0</v>
      </c>
      <c r="P59" s="280">
        <v>64.107526881720432</v>
      </c>
      <c r="Q59" s="285">
        <f>SUMPRODUCT(D59:P59,GC_Estim1_07_SURF_24_25!D59:P59)/GC_Estim1_07_SURF_24_25!Q59</f>
        <v>94.136102178911315</v>
      </c>
      <c r="R59" s="277"/>
      <c r="S59" s="170"/>
      <c r="T59" s="176"/>
    </row>
    <row r="60" spans="2:20" ht="14.5" customHeight="1">
      <c r="B60" s="458"/>
      <c r="C60" s="290" t="s">
        <v>142</v>
      </c>
      <c r="D60" s="295">
        <v>83.510444289369616</v>
      </c>
      <c r="E60" s="246">
        <v>83.637258432361065</v>
      </c>
      <c r="F60" s="246">
        <v>88.650627736983196</v>
      </c>
      <c r="G60" s="246">
        <v>90.713238604389417</v>
      </c>
      <c r="H60" s="246">
        <v>82.468126899414429</v>
      </c>
      <c r="I60" s="246">
        <v>102.08801585228322</v>
      </c>
      <c r="J60" s="246">
        <v>94.833300054909401</v>
      </c>
      <c r="K60" s="264">
        <v>95.967626971947254</v>
      </c>
      <c r="L60" s="270">
        <v>73.831852029786205</v>
      </c>
      <c r="M60" s="247">
        <v>77.213020833333331</v>
      </c>
      <c r="N60" s="247">
        <v>70.416425120772942</v>
      </c>
      <c r="O60" s="247">
        <v>0</v>
      </c>
      <c r="P60" s="280">
        <v>67.567647058823525</v>
      </c>
      <c r="Q60" s="285">
        <f>SUMPRODUCT(D60:P60,GC_Estim1_07_SURF_24_25!D60:P60)/GC_Estim1_07_SURF_24_25!Q60</f>
        <v>93.283064601770604</v>
      </c>
      <c r="R60" s="277"/>
      <c r="S60" s="170"/>
      <c r="T60" s="176"/>
    </row>
    <row r="61" spans="2:20" ht="14.5" customHeight="1">
      <c r="B61" s="458"/>
      <c r="C61" s="291" t="s">
        <v>112</v>
      </c>
      <c r="D61" s="298"/>
      <c r="E61" s="299"/>
      <c r="F61" s="299"/>
      <c r="G61" s="299"/>
      <c r="H61" s="299"/>
      <c r="I61" s="299"/>
      <c r="J61" s="299"/>
      <c r="K61" s="300"/>
      <c r="L61" s="298"/>
      <c r="M61" s="299"/>
      <c r="N61" s="299"/>
      <c r="O61" s="299"/>
      <c r="P61" s="301"/>
      <c r="Q61" s="302"/>
      <c r="R61" s="277"/>
      <c r="S61" s="170"/>
      <c r="T61" s="176"/>
    </row>
    <row r="62" spans="2:20" ht="14.5" customHeight="1">
      <c r="B62" s="458"/>
      <c r="C62" s="291" t="s">
        <v>168</v>
      </c>
      <c r="D62" s="298"/>
      <c r="E62" s="299"/>
      <c r="F62" s="299"/>
      <c r="G62" s="299"/>
      <c r="H62" s="299"/>
      <c r="I62" s="299"/>
      <c r="J62" s="299"/>
      <c r="K62" s="300"/>
      <c r="L62" s="298"/>
      <c r="M62" s="299"/>
      <c r="N62" s="299"/>
      <c r="O62" s="299"/>
      <c r="P62" s="301"/>
      <c r="Q62" s="302"/>
      <c r="R62" s="267"/>
      <c r="S62" s="170"/>
    </row>
    <row r="63" spans="2:20" ht="14.5" customHeight="1" thickBot="1">
      <c r="B63" s="459"/>
      <c r="C63" s="292" t="s">
        <v>169</v>
      </c>
      <c r="D63" s="347"/>
      <c r="E63" s="348"/>
      <c r="F63" s="348"/>
      <c r="G63" s="348"/>
      <c r="H63" s="348"/>
      <c r="I63" s="348"/>
      <c r="J63" s="348"/>
      <c r="K63" s="349"/>
      <c r="L63" s="347"/>
      <c r="M63" s="348"/>
      <c r="N63" s="348"/>
      <c r="O63" s="348"/>
      <c r="P63" s="350"/>
      <c r="Q63" s="351"/>
      <c r="R63" s="182"/>
      <c r="S63" s="170"/>
    </row>
    <row r="64" spans="2:20" ht="13.5" customHeight="1">
      <c r="B64" s="457" t="s">
        <v>101</v>
      </c>
      <c r="C64" s="293" t="s">
        <v>155</v>
      </c>
      <c r="D64" s="342"/>
      <c r="E64" s="343"/>
      <c r="F64" s="343"/>
      <c r="G64" s="343"/>
      <c r="H64" s="343"/>
      <c r="I64" s="343"/>
      <c r="J64" s="343"/>
      <c r="K64" s="344"/>
      <c r="L64" s="342"/>
      <c r="M64" s="343"/>
      <c r="N64" s="343"/>
      <c r="O64" s="343"/>
      <c r="P64" s="345"/>
      <c r="Q64" s="346"/>
      <c r="R64" s="277"/>
      <c r="S64" s="170"/>
      <c r="T64" s="176"/>
    </row>
    <row r="65" spans="2:20" ht="15" customHeight="1">
      <c r="B65" s="458"/>
      <c r="C65" s="289" t="s">
        <v>144</v>
      </c>
      <c r="D65" s="295">
        <v>38</v>
      </c>
      <c r="E65" s="246">
        <v>35</v>
      </c>
      <c r="F65" s="246">
        <v>33</v>
      </c>
      <c r="G65" s="246">
        <v>35</v>
      </c>
      <c r="H65" s="246">
        <v>35</v>
      </c>
      <c r="I65" s="246">
        <v>30</v>
      </c>
      <c r="J65" s="246">
        <v>35</v>
      </c>
      <c r="K65" s="264">
        <v>35</v>
      </c>
      <c r="L65" s="270">
        <v>29</v>
      </c>
      <c r="M65" s="247">
        <v>27</v>
      </c>
      <c r="N65" s="247">
        <v>29</v>
      </c>
      <c r="O65" s="247">
        <v>0</v>
      </c>
      <c r="P65" s="280">
        <v>0</v>
      </c>
      <c r="Q65" s="285">
        <f>SUMPRODUCT(D65:P65,GC_Estim1_07_SURF_24_25!D65:P65)/GC_Estim1_07_SURF_24_25!Q65</f>
        <v>34.585139318885446</v>
      </c>
      <c r="R65" s="267"/>
      <c r="S65" s="170"/>
      <c r="T65" s="176"/>
    </row>
    <row r="66" spans="2:20" ht="15" customHeight="1">
      <c r="B66" s="458"/>
      <c r="C66" s="290" t="s">
        <v>141</v>
      </c>
      <c r="D66" s="295">
        <v>32.372756071805703</v>
      </c>
      <c r="E66" s="246">
        <v>33.411483253588514</v>
      </c>
      <c r="F66" s="246">
        <v>30.398879028491358</v>
      </c>
      <c r="G66" s="246">
        <v>32.469669570935395</v>
      </c>
      <c r="H66" s="246">
        <v>31.036610878661087</v>
      </c>
      <c r="I66" s="246">
        <v>30.743842364532021</v>
      </c>
      <c r="J66" s="246">
        <v>31.407794676806084</v>
      </c>
      <c r="K66" s="264">
        <v>34.569964442585231</v>
      </c>
      <c r="L66" s="270">
        <v>29.376884422110553</v>
      </c>
      <c r="M66" s="247">
        <v>28.678160919540229</v>
      </c>
      <c r="N66" s="247">
        <v>29.436285097192226</v>
      </c>
      <c r="O66" s="247">
        <v>0</v>
      </c>
      <c r="P66" s="280">
        <v>28.714285714285715</v>
      </c>
      <c r="Q66" s="285">
        <f>SUMPRODUCT(D66:P66,GC_Estim1_07_SURF_24_25!D66:P66)/GC_Estim1_07_SURF_24_25!Q66</f>
        <v>32.17839152635937</v>
      </c>
      <c r="R66" s="267"/>
      <c r="S66" s="170"/>
      <c r="T66" s="176"/>
    </row>
    <row r="67" spans="2:20" ht="15" customHeight="1">
      <c r="B67" s="458"/>
      <c r="C67" s="290" t="s">
        <v>142</v>
      </c>
      <c r="D67" s="295">
        <v>32.766301072676875</v>
      </c>
      <c r="E67" s="246">
        <v>32.897838899803538</v>
      </c>
      <c r="F67" s="246">
        <v>30.764820675105486</v>
      </c>
      <c r="G67" s="246">
        <v>34.391903096723027</v>
      </c>
      <c r="H67" s="246">
        <v>31.432008953553442</v>
      </c>
      <c r="I67" s="246">
        <v>31.1282301316431</v>
      </c>
      <c r="J67" s="246">
        <v>31.936804879298858</v>
      </c>
      <c r="K67" s="264">
        <v>33.932042320949826</v>
      </c>
      <c r="L67" s="270">
        <v>29.407263028313501</v>
      </c>
      <c r="M67" s="247">
        <v>27.307221542227662</v>
      </c>
      <c r="N67" s="247">
        <v>29.671264367816093</v>
      </c>
      <c r="O67" s="247">
        <v>0</v>
      </c>
      <c r="P67" s="280">
        <v>28.744186046511629</v>
      </c>
      <c r="Q67" s="285">
        <f>SUMPRODUCT(D67:P67,GC_Estim1_07_SURF_24_25!D67:P67)/GC_Estim1_07_SURF_24_25!Q67</f>
        <v>32.700421617477971</v>
      </c>
      <c r="R67" s="267"/>
      <c r="S67" s="170"/>
      <c r="T67" s="176"/>
    </row>
    <row r="68" spans="2:20" ht="15" customHeight="1">
      <c r="B68" s="458"/>
      <c r="C68" s="291" t="s">
        <v>112</v>
      </c>
      <c r="D68" s="298"/>
      <c r="E68" s="299"/>
      <c r="F68" s="299"/>
      <c r="G68" s="299"/>
      <c r="H68" s="299"/>
      <c r="I68" s="299"/>
      <c r="J68" s="299"/>
      <c r="K68" s="300"/>
      <c r="L68" s="298"/>
      <c r="M68" s="299"/>
      <c r="N68" s="299"/>
      <c r="O68" s="299"/>
      <c r="P68" s="301"/>
      <c r="Q68" s="302"/>
      <c r="R68" s="267"/>
      <c r="S68" s="170"/>
      <c r="T68" s="176"/>
    </row>
    <row r="69" spans="2:20" ht="15" customHeight="1">
      <c r="B69" s="458"/>
      <c r="C69" s="291" t="s">
        <v>168</v>
      </c>
      <c r="D69" s="298"/>
      <c r="E69" s="299"/>
      <c r="F69" s="299"/>
      <c r="G69" s="299"/>
      <c r="H69" s="299"/>
      <c r="I69" s="299"/>
      <c r="J69" s="299"/>
      <c r="K69" s="300"/>
      <c r="L69" s="298"/>
      <c r="M69" s="299"/>
      <c r="N69" s="299"/>
      <c r="O69" s="299"/>
      <c r="P69" s="301"/>
      <c r="Q69" s="302"/>
      <c r="R69" s="268"/>
      <c r="S69" s="170"/>
    </row>
    <row r="70" spans="2:20" ht="15" customHeight="1" thickBot="1">
      <c r="B70" s="459"/>
      <c r="C70" s="292" t="s">
        <v>169</v>
      </c>
      <c r="D70" s="347"/>
      <c r="E70" s="348"/>
      <c r="F70" s="348"/>
      <c r="G70" s="348"/>
      <c r="H70" s="348"/>
      <c r="I70" s="348"/>
      <c r="J70" s="348"/>
      <c r="K70" s="349"/>
      <c r="L70" s="347"/>
      <c r="M70" s="348"/>
      <c r="N70" s="348"/>
      <c r="O70" s="348"/>
      <c r="P70" s="350"/>
      <c r="Q70" s="351"/>
      <c r="R70" s="278"/>
      <c r="S70" s="170"/>
    </row>
    <row r="71" spans="2:20" ht="15" customHeight="1">
      <c r="B71" s="457" t="s">
        <v>102</v>
      </c>
      <c r="C71" s="293" t="s">
        <v>155</v>
      </c>
      <c r="D71" s="342"/>
      <c r="E71" s="343"/>
      <c r="F71" s="343"/>
      <c r="G71" s="343"/>
      <c r="H71" s="343"/>
      <c r="I71" s="343"/>
      <c r="J71" s="343"/>
      <c r="K71" s="344"/>
      <c r="L71" s="342"/>
      <c r="M71" s="343"/>
      <c r="N71" s="343"/>
      <c r="O71" s="343"/>
      <c r="P71" s="345"/>
      <c r="Q71" s="346"/>
      <c r="R71" s="195"/>
      <c r="S71" s="170"/>
      <c r="T71" s="176"/>
    </row>
    <row r="72" spans="2:20" ht="15" customHeight="1">
      <c r="B72" s="458"/>
      <c r="C72" s="289" t="s">
        <v>144</v>
      </c>
      <c r="D72" s="295">
        <v>55</v>
      </c>
      <c r="E72" s="246">
        <v>37</v>
      </c>
      <c r="F72" s="246">
        <v>43</v>
      </c>
      <c r="G72" s="246">
        <v>40</v>
      </c>
      <c r="H72" s="246">
        <v>42</v>
      </c>
      <c r="I72" s="246">
        <v>36</v>
      </c>
      <c r="J72" s="246">
        <v>47</v>
      </c>
      <c r="K72" s="264">
        <v>39</v>
      </c>
      <c r="L72" s="270">
        <v>55</v>
      </c>
      <c r="M72" s="247">
        <v>41</v>
      </c>
      <c r="N72" s="247">
        <v>37</v>
      </c>
      <c r="O72" s="247">
        <v>0</v>
      </c>
      <c r="P72" s="280">
        <v>0</v>
      </c>
      <c r="Q72" s="285">
        <f>SUMPRODUCT(D72:P72,GC_Estim1_07_SURF_24_25!D72:P72)/GC_Estim1_07_SURF_24_25!Q72</f>
        <v>42.29260700389105</v>
      </c>
      <c r="R72" s="162"/>
      <c r="S72" s="170"/>
      <c r="T72" s="176"/>
    </row>
    <row r="73" spans="2:20" ht="15" customHeight="1">
      <c r="B73" s="458"/>
      <c r="C73" s="290" t="s">
        <v>141</v>
      </c>
      <c r="D73" s="295">
        <v>51.440585009140769</v>
      </c>
      <c r="E73" s="246">
        <v>40.100189035916827</v>
      </c>
      <c r="F73" s="246">
        <v>48.044079647362821</v>
      </c>
      <c r="G73" s="246">
        <v>48.340824960338445</v>
      </c>
      <c r="H73" s="246">
        <v>44.338274420372485</v>
      </c>
      <c r="I73" s="246">
        <v>45.490750816104459</v>
      </c>
      <c r="J73" s="246">
        <v>47.152172721792972</v>
      </c>
      <c r="K73" s="264">
        <v>46.437876478699472</v>
      </c>
      <c r="L73" s="270">
        <v>52.575066234913159</v>
      </c>
      <c r="M73" s="247">
        <v>41.391559202813596</v>
      </c>
      <c r="N73" s="247">
        <v>37.427419354838712</v>
      </c>
      <c r="O73" s="247">
        <v>29.509803921568629</v>
      </c>
      <c r="P73" s="280">
        <v>32</v>
      </c>
      <c r="Q73" s="285">
        <f>SUMPRODUCT(D73:P73,GC_Estim1_07_SURF_24_25!D73:P73)/GC_Estim1_07_SURF_24_25!Q73</f>
        <v>47.542393354218298</v>
      </c>
      <c r="R73" s="162"/>
      <c r="S73" s="170"/>
      <c r="T73" s="176"/>
    </row>
    <row r="74" spans="2:20" ht="15" customHeight="1">
      <c r="B74" s="458"/>
      <c r="C74" s="290" t="s">
        <v>142</v>
      </c>
      <c r="D74" s="295">
        <v>51.941391941391942</v>
      </c>
      <c r="E74" s="246">
        <v>39.864892528147386</v>
      </c>
      <c r="F74" s="246">
        <v>53.60923691570116</v>
      </c>
      <c r="G74" s="246">
        <v>51.18054507170951</v>
      </c>
      <c r="H74" s="246">
        <v>42.025218006127737</v>
      </c>
      <c r="I74" s="246">
        <v>47.412514484356898</v>
      </c>
      <c r="J74" s="246">
        <v>47.748522829006269</v>
      </c>
      <c r="K74" s="264">
        <v>47.368432178508513</v>
      </c>
      <c r="L74" s="270">
        <v>51.400094218991853</v>
      </c>
      <c r="M74" s="247">
        <v>43.362490149724195</v>
      </c>
      <c r="N74" s="247">
        <v>38.097444781290605</v>
      </c>
      <c r="O74" s="247">
        <v>29.454545454545453</v>
      </c>
      <c r="P74" s="280">
        <v>32.727272727272727</v>
      </c>
      <c r="Q74" s="285">
        <f>SUMPRODUCT(D74:P74,GC_Estim1_07_SURF_24_25!D74:P74)/GC_Estim1_07_SURF_24_25!Q74</f>
        <v>49.970864761031997</v>
      </c>
      <c r="R74" s="162"/>
      <c r="S74" s="170"/>
      <c r="T74" s="176"/>
    </row>
    <row r="75" spans="2:20" ht="15" customHeight="1">
      <c r="B75" s="458"/>
      <c r="C75" s="291" t="s">
        <v>112</v>
      </c>
      <c r="D75" s="298"/>
      <c r="E75" s="299"/>
      <c r="F75" s="299"/>
      <c r="G75" s="299"/>
      <c r="H75" s="299"/>
      <c r="I75" s="299"/>
      <c r="J75" s="299"/>
      <c r="K75" s="300"/>
      <c r="L75" s="298"/>
      <c r="M75" s="299"/>
      <c r="N75" s="299"/>
      <c r="O75" s="299"/>
      <c r="P75" s="301"/>
      <c r="Q75" s="302"/>
      <c r="R75" s="162"/>
      <c r="S75" s="170"/>
      <c r="T75" s="176"/>
    </row>
    <row r="76" spans="2:20" ht="15" customHeight="1">
      <c r="B76" s="458"/>
      <c r="C76" s="291" t="s">
        <v>168</v>
      </c>
      <c r="D76" s="298"/>
      <c r="E76" s="299"/>
      <c r="F76" s="299"/>
      <c r="G76" s="299"/>
      <c r="H76" s="299"/>
      <c r="I76" s="299"/>
      <c r="J76" s="299"/>
      <c r="K76" s="300"/>
      <c r="L76" s="298"/>
      <c r="M76" s="299"/>
      <c r="N76" s="299"/>
      <c r="O76" s="299"/>
      <c r="P76" s="301"/>
      <c r="Q76" s="302"/>
      <c r="R76" s="162"/>
      <c r="S76" s="170"/>
    </row>
    <row r="77" spans="2:20" ht="15" customHeight="1" thickBot="1">
      <c r="B77" s="459"/>
      <c r="C77" s="292" t="s">
        <v>169</v>
      </c>
      <c r="D77" s="347"/>
      <c r="E77" s="348"/>
      <c r="F77" s="348"/>
      <c r="G77" s="348"/>
      <c r="H77" s="348"/>
      <c r="I77" s="348"/>
      <c r="J77" s="348"/>
      <c r="K77" s="349"/>
      <c r="L77" s="347"/>
      <c r="M77" s="348"/>
      <c r="N77" s="348"/>
      <c r="O77" s="348"/>
      <c r="P77" s="350"/>
      <c r="Q77" s="351"/>
      <c r="R77" s="162"/>
      <c r="S77" s="170"/>
    </row>
    <row r="78" spans="2:20" ht="15" customHeight="1">
      <c r="B78" s="457" t="s">
        <v>113</v>
      </c>
      <c r="C78" s="293" t="s">
        <v>155</v>
      </c>
      <c r="D78" s="297">
        <v>28.09</v>
      </c>
      <c r="E78" s="258">
        <v>30</v>
      </c>
      <c r="F78" s="258">
        <v>29</v>
      </c>
      <c r="G78" s="258">
        <v>30</v>
      </c>
      <c r="H78" s="258">
        <v>25</v>
      </c>
      <c r="I78" s="258">
        <v>30</v>
      </c>
      <c r="J78" s="258">
        <v>31</v>
      </c>
      <c r="K78" s="263">
        <v>32</v>
      </c>
      <c r="L78" s="269">
        <v>27</v>
      </c>
      <c r="M78" s="259">
        <v>26</v>
      </c>
      <c r="N78" s="259">
        <v>25</v>
      </c>
      <c r="O78" s="259">
        <v>17</v>
      </c>
      <c r="P78" s="279">
        <v>19</v>
      </c>
      <c r="Q78" s="284">
        <f>SUMPRODUCT(D78:P78,GC_Estim1_07_SURF_24_25!D78:P78)/GC_Estim1_07_SURF_24_25!Q78</f>
        <v>29.576177571299521</v>
      </c>
      <c r="R78" s="162"/>
      <c r="S78" s="170"/>
      <c r="T78" s="176"/>
    </row>
    <row r="79" spans="2:20" ht="15" customHeight="1">
      <c r="B79" s="458"/>
      <c r="C79" s="289" t="s">
        <v>144</v>
      </c>
      <c r="D79" s="295">
        <v>30</v>
      </c>
      <c r="E79" s="246">
        <v>31.99</v>
      </c>
      <c r="F79" s="246">
        <v>27</v>
      </c>
      <c r="G79" s="246">
        <v>29</v>
      </c>
      <c r="H79" s="246">
        <v>23</v>
      </c>
      <c r="I79" s="246">
        <v>32</v>
      </c>
      <c r="J79" s="246">
        <v>29</v>
      </c>
      <c r="K79" s="264">
        <v>27</v>
      </c>
      <c r="L79" s="270">
        <v>25</v>
      </c>
      <c r="M79" s="247">
        <v>27</v>
      </c>
      <c r="N79" s="247">
        <v>24</v>
      </c>
      <c r="O79" s="247">
        <v>18</v>
      </c>
      <c r="P79" s="280">
        <v>17</v>
      </c>
      <c r="Q79" s="285">
        <f>SUMPRODUCT(D79:P79,GC_Estim1_07_SURF_24_25!D79:P79)/GC_Estim1_07_SURF_24_25!Q79</f>
        <v>28.070833333333333</v>
      </c>
      <c r="R79" s="162"/>
      <c r="S79" s="170"/>
      <c r="T79" s="176"/>
    </row>
    <row r="80" spans="2:20" ht="15" customHeight="1">
      <c r="B80" s="458"/>
      <c r="C80" s="290" t="s">
        <v>141</v>
      </c>
      <c r="D80" s="295">
        <v>25.783829787234044</v>
      </c>
      <c r="E80" s="246">
        <v>28.086764705882352</v>
      </c>
      <c r="F80" s="246">
        <v>26.687558660965689</v>
      </c>
      <c r="G80" s="246">
        <v>25.062220653963774</v>
      </c>
      <c r="H80" s="246">
        <v>22.408577878103838</v>
      </c>
      <c r="I80" s="246">
        <v>28.08207343412527</v>
      </c>
      <c r="J80" s="246">
        <v>26.764922480620154</v>
      </c>
      <c r="K80" s="264">
        <v>25.160735468564649</v>
      </c>
      <c r="L80" s="270">
        <v>27.272841051314142</v>
      </c>
      <c r="M80" s="247">
        <v>25.635006784260515</v>
      </c>
      <c r="N80" s="247">
        <v>21.057324840764331</v>
      </c>
      <c r="O80" s="247">
        <v>17.866666666666667</v>
      </c>
      <c r="P80" s="280">
        <v>17.46875</v>
      </c>
      <c r="Q80" s="285">
        <f>SUMPRODUCT(D80:P80,GC_Estim1_07_SURF_24_25!D80:P80)/GC_Estim1_07_SURF_24_25!Q80</f>
        <v>26.109170382746409</v>
      </c>
      <c r="R80" s="162"/>
      <c r="S80" s="170"/>
      <c r="T80" s="176"/>
    </row>
    <row r="81" spans="2:20" ht="15" customHeight="1">
      <c r="B81" s="458"/>
      <c r="C81" s="290" t="s">
        <v>142</v>
      </c>
      <c r="D81" s="295">
        <v>25.906140007821666</v>
      </c>
      <c r="E81" s="246">
        <v>27.699512195121951</v>
      </c>
      <c r="F81" s="246">
        <v>27.473022671197803</v>
      </c>
      <c r="G81" s="246">
        <v>25.912724948372503</v>
      </c>
      <c r="H81" s="246">
        <v>23.574977817213842</v>
      </c>
      <c r="I81" s="246">
        <v>27.532838983050848</v>
      </c>
      <c r="J81" s="246">
        <v>26.555114116652579</v>
      </c>
      <c r="K81" s="264">
        <v>26.622293138819238</v>
      </c>
      <c r="L81" s="270">
        <v>27.668225292242294</v>
      </c>
      <c r="M81" s="247">
        <v>25.16799363057325</v>
      </c>
      <c r="N81" s="247">
        <v>20.51559633027523</v>
      </c>
      <c r="O81" s="247">
        <v>20.862745098039216</v>
      </c>
      <c r="P81" s="280">
        <v>17.46875</v>
      </c>
      <c r="Q81" s="285">
        <f>SUMPRODUCT(D81:P81,GC_Estim1_07_SURF_24_25!D81:P81)/GC_Estim1_07_SURF_24_25!Q81</f>
        <v>26.651000729067647</v>
      </c>
      <c r="R81" s="162"/>
      <c r="S81" s="170"/>
      <c r="T81" s="176"/>
    </row>
    <row r="82" spans="2:20" ht="15" customHeight="1">
      <c r="B82" s="458"/>
      <c r="C82" s="291" t="s">
        <v>112</v>
      </c>
      <c r="D82" s="271">
        <v>-2.5641025641025661E-2</v>
      </c>
      <c r="E82" s="248">
        <v>0</v>
      </c>
      <c r="F82" s="248">
        <v>-2.5641025641025661E-2</v>
      </c>
      <c r="G82" s="248">
        <v>6.25E-2</v>
      </c>
      <c r="H82" s="248">
        <v>-5.0000000000000044E-2</v>
      </c>
      <c r="I82" s="248">
        <v>0.25</v>
      </c>
      <c r="J82" s="248">
        <v>6.0606060606060552E-2</v>
      </c>
      <c r="K82" s="265">
        <v>0.1333333333333333</v>
      </c>
      <c r="L82" s="271">
        <v>0.55882352941176472</v>
      </c>
      <c r="M82" s="248">
        <v>-9.7560975609756073E-2</v>
      </c>
      <c r="N82" s="248">
        <v>9.7560975609756184E-2</v>
      </c>
      <c r="O82" s="248">
        <v>0</v>
      </c>
      <c r="P82" s="281">
        <v>1</v>
      </c>
      <c r="Q82" s="431">
        <f>Q78/Q79-1</f>
        <v>5.3626631603367336E-2</v>
      </c>
      <c r="R82" s="162"/>
      <c r="S82" s="170"/>
      <c r="T82" s="176"/>
    </row>
    <row r="83" spans="2:20" ht="15" customHeight="1">
      <c r="B83" s="458"/>
      <c r="C83" s="291" t="s">
        <v>168</v>
      </c>
      <c r="D83" s="271">
        <v>-5.9071729957805852E-3</v>
      </c>
      <c r="E83" s="248">
        <v>1.4404258650383639E-2</v>
      </c>
      <c r="F83" s="248">
        <v>-4.6217932557831576E-3</v>
      </c>
      <c r="G83" s="248">
        <v>-9.4538017788592388E-4</v>
      </c>
      <c r="H83" s="248">
        <v>-1.2817714018400039E-2</v>
      </c>
      <c r="I83" s="248">
        <v>7.8878177037686736E-3</v>
      </c>
      <c r="J83" s="248">
        <v>8.7060942659862306E-3</v>
      </c>
      <c r="K83" s="265">
        <v>-1.4296388542963889E-2</v>
      </c>
      <c r="L83" s="271">
        <v>0.47989028261472533</v>
      </c>
      <c r="M83" s="248">
        <v>6.4374062968515666E-2</v>
      </c>
      <c r="N83" s="248">
        <v>0.48283234813231046</v>
      </c>
      <c r="O83" s="248">
        <v>-9.6707392834955441E-2</v>
      </c>
      <c r="P83" s="281">
        <v>0.19999999999999996</v>
      </c>
      <c r="Q83" s="431">
        <f>Q78/Q80-1</f>
        <v>0.13278886834505466</v>
      </c>
      <c r="R83" s="162"/>
      <c r="S83" s="170"/>
    </row>
    <row r="84" spans="2:20" ht="15" customHeight="1" thickBot="1">
      <c r="B84" s="459"/>
      <c r="C84" s="292" t="s">
        <v>169</v>
      </c>
      <c r="D84" s="338">
        <v>-3.5505870772692072E-2</v>
      </c>
      <c r="E84" s="339">
        <v>-7.4049350888500065E-2</v>
      </c>
      <c r="F84" s="339">
        <v>-3.9510144951949489E-2</v>
      </c>
      <c r="G84" s="339">
        <v>-9.135784973664951E-2</v>
      </c>
      <c r="H84" s="339">
        <v>-3.7619522280060602E-2</v>
      </c>
      <c r="I84" s="339">
        <v>-1.1764705882352899E-2</v>
      </c>
      <c r="J84" s="339">
        <v>-6.1369648545052002E-2</v>
      </c>
      <c r="K84" s="340">
        <v>-6.7506718635983343E-2</v>
      </c>
      <c r="L84" s="338">
        <v>0.3740824513485832</v>
      </c>
      <c r="M84" s="339">
        <v>2.9538064388016094E-2</v>
      </c>
      <c r="N84" s="339">
        <v>0.45801259622113366</v>
      </c>
      <c r="O84" s="339">
        <v>-0.10805328655227242</v>
      </c>
      <c r="P84" s="341">
        <v>-1.5586546349466768E-2</v>
      </c>
      <c r="Q84" s="436">
        <f>Q78/Q81-1</f>
        <v>0.10975861176730417</v>
      </c>
      <c r="R84" s="195"/>
      <c r="S84" s="170"/>
    </row>
    <row r="85" spans="2:20" ht="14.25" customHeight="1">
      <c r="B85" s="457" t="s">
        <v>103</v>
      </c>
      <c r="C85" s="293" t="s">
        <v>155</v>
      </c>
      <c r="D85" s="342"/>
      <c r="E85" s="343"/>
      <c r="F85" s="343"/>
      <c r="G85" s="343"/>
      <c r="H85" s="343"/>
      <c r="I85" s="343"/>
      <c r="J85" s="343"/>
      <c r="K85" s="344"/>
      <c r="L85" s="342"/>
      <c r="M85" s="343"/>
      <c r="N85" s="343"/>
      <c r="O85" s="343"/>
      <c r="P85" s="345"/>
      <c r="Q85" s="346"/>
      <c r="R85" s="195"/>
      <c r="S85" s="170"/>
      <c r="T85" s="176"/>
    </row>
    <row r="86" spans="2:20" ht="15" customHeight="1">
      <c r="B86" s="458"/>
      <c r="C86" s="289" t="s">
        <v>144</v>
      </c>
      <c r="D86" s="295">
        <v>18</v>
      </c>
      <c r="E86" s="246">
        <v>25</v>
      </c>
      <c r="F86" s="246">
        <v>22</v>
      </c>
      <c r="G86" s="246">
        <v>19</v>
      </c>
      <c r="H86" s="246">
        <v>19</v>
      </c>
      <c r="I86" s="246">
        <v>19</v>
      </c>
      <c r="J86" s="246">
        <v>22</v>
      </c>
      <c r="K86" s="264">
        <v>20</v>
      </c>
      <c r="L86" s="270">
        <v>19</v>
      </c>
      <c r="M86" s="247">
        <v>16</v>
      </c>
      <c r="N86" s="247">
        <v>14</v>
      </c>
      <c r="O86" s="247">
        <v>14</v>
      </c>
      <c r="P86" s="280">
        <v>12</v>
      </c>
      <c r="Q86" s="285">
        <f>SUMPRODUCT(D86:P86,GC_Estim1_07_SURF_24_25!D86:P86)/GC_Estim1_07_SURF_24_25!Q86</f>
        <v>20.183213781110748</v>
      </c>
      <c r="R86" s="162"/>
      <c r="S86" s="170"/>
      <c r="T86" s="176"/>
    </row>
    <row r="87" spans="2:20" ht="15" customHeight="1">
      <c r="B87" s="458"/>
      <c r="C87" s="290" t="s">
        <v>141</v>
      </c>
      <c r="D87" s="295">
        <v>21.031279847182425</v>
      </c>
      <c r="E87" s="246">
        <v>20.058064516129033</v>
      </c>
      <c r="F87" s="246">
        <v>21.404130657682732</v>
      </c>
      <c r="G87" s="246">
        <v>19.204193156104242</v>
      </c>
      <c r="H87" s="246">
        <v>18.797456575682382</v>
      </c>
      <c r="I87" s="246">
        <v>21.886841483581385</v>
      </c>
      <c r="J87" s="246">
        <v>21.57099267369777</v>
      </c>
      <c r="K87" s="264">
        <v>21.150772937161214</v>
      </c>
      <c r="L87" s="270">
        <v>18.786305407550163</v>
      </c>
      <c r="M87" s="247">
        <v>15.311401532221721</v>
      </c>
      <c r="N87" s="247">
        <v>14.277591973244148</v>
      </c>
      <c r="O87" s="247">
        <v>15.370967741935484</v>
      </c>
      <c r="P87" s="280">
        <v>12.048780487804878</v>
      </c>
      <c r="Q87" s="285">
        <f>SUMPRODUCT(D87:P87,GC_Estim1_07_SURF_24_25!D87:P87)/GC_Estim1_07_SURF_24_25!Q87</f>
        <v>20.286436046547358</v>
      </c>
      <c r="R87" s="162"/>
      <c r="S87" s="170"/>
      <c r="T87" s="176"/>
    </row>
    <row r="88" spans="2:20" ht="15" customHeight="1">
      <c r="B88" s="458"/>
      <c r="C88" s="290" t="s">
        <v>142</v>
      </c>
      <c r="D88" s="295">
        <v>21.448826815642459</v>
      </c>
      <c r="E88" s="246">
        <v>20.448692152917506</v>
      </c>
      <c r="F88" s="246">
        <v>21.391570289340738</v>
      </c>
      <c r="G88" s="246">
        <v>20.253709266685981</v>
      </c>
      <c r="H88" s="246">
        <v>18.620193718814207</v>
      </c>
      <c r="I88" s="246">
        <v>23.115759925143696</v>
      </c>
      <c r="J88" s="246">
        <v>21.117188887991603</v>
      </c>
      <c r="K88" s="264">
        <v>22.202237926972909</v>
      </c>
      <c r="L88" s="270">
        <v>18.808084573802358</v>
      </c>
      <c r="M88" s="247">
        <v>16.615294511378849</v>
      </c>
      <c r="N88" s="247">
        <v>14.866379310344827</v>
      </c>
      <c r="O88" s="247">
        <v>15.732673267326733</v>
      </c>
      <c r="P88" s="280">
        <v>12.655737704918034</v>
      </c>
      <c r="Q88" s="285">
        <f>SUMPRODUCT(D88:P88,GC_Estim1_07_SURF_24_25!D88:P88)/GC_Estim1_07_SURF_24_25!Q88</f>
        <v>20.731139873188795</v>
      </c>
      <c r="R88" s="162"/>
      <c r="S88" s="170"/>
      <c r="T88" s="176"/>
    </row>
    <row r="89" spans="2:20" ht="15" customHeight="1">
      <c r="B89" s="458"/>
      <c r="C89" s="291" t="s">
        <v>112</v>
      </c>
      <c r="D89" s="298"/>
      <c r="E89" s="299"/>
      <c r="F89" s="299"/>
      <c r="G89" s="299"/>
      <c r="H89" s="299"/>
      <c r="I89" s="299"/>
      <c r="J89" s="299"/>
      <c r="K89" s="300"/>
      <c r="L89" s="298"/>
      <c r="M89" s="299"/>
      <c r="N89" s="299"/>
      <c r="O89" s="299"/>
      <c r="P89" s="301"/>
      <c r="Q89" s="302"/>
      <c r="R89" s="162"/>
      <c r="S89" s="170"/>
      <c r="T89" s="176"/>
    </row>
    <row r="90" spans="2:20" ht="15" customHeight="1">
      <c r="B90" s="458"/>
      <c r="C90" s="291" t="s">
        <v>168</v>
      </c>
      <c r="D90" s="298"/>
      <c r="E90" s="299"/>
      <c r="F90" s="299"/>
      <c r="G90" s="299"/>
      <c r="H90" s="299"/>
      <c r="I90" s="299"/>
      <c r="J90" s="299"/>
      <c r="K90" s="300"/>
      <c r="L90" s="298"/>
      <c r="M90" s="299"/>
      <c r="N90" s="299"/>
      <c r="O90" s="299"/>
      <c r="P90" s="301"/>
      <c r="Q90" s="302"/>
      <c r="R90" s="162"/>
      <c r="S90" s="170"/>
    </row>
    <row r="91" spans="2:20" ht="15" customHeight="1" thickBot="1">
      <c r="B91" s="459"/>
      <c r="C91" s="292" t="s">
        <v>169</v>
      </c>
      <c r="D91" s="347"/>
      <c r="E91" s="348"/>
      <c r="F91" s="348"/>
      <c r="G91" s="348"/>
      <c r="H91" s="348"/>
      <c r="I91" s="348"/>
      <c r="J91" s="348"/>
      <c r="K91" s="349"/>
      <c r="L91" s="347"/>
      <c r="M91" s="348"/>
      <c r="N91" s="348"/>
      <c r="O91" s="348"/>
      <c r="P91" s="350"/>
      <c r="Q91" s="351"/>
      <c r="R91" s="196"/>
      <c r="S91" s="170"/>
    </row>
    <row r="92" spans="2:20" ht="15" customHeight="1">
      <c r="B92" s="457" t="s">
        <v>104</v>
      </c>
      <c r="C92" s="293" t="s">
        <v>155</v>
      </c>
      <c r="D92" s="342"/>
      <c r="E92" s="343"/>
      <c r="F92" s="343"/>
      <c r="G92" s="343"/>
      <c r="H92" s="343"/>
      <c r="I92" s="343"/>
      <c r="J92" s="343"/>
      <c r="K92" s="344"/>
      <c r="L92" s="342"/>
      <c r="M92" s="343"/>
      <c r="N92" s="343"/>
      <c r="O92" s="343"/>
      <c r="P92" s="345"/>
      <c r="Q92" s="346"/>
      <c r="R92" s="195"/>
      <c r="S92" s="170"/>
      <c r="T92" s="176"/>
    </row>
    <row r="93" spans="2:20" ht="15" customHeight="1">
      <c r="B93" s="458"/>
      <c r="C93" s="289" t="s">
        <v>144</v>
      </c>
      <c r="D93" s="295">
        <v>19</v>
      </c>
      <c r="E93" s="246">
        <v>20</v>
      </c>
      <c r="F93" s="246">
        <v>27</v>
      </c>
      <c r="G93" s="246">
        <v>22</v>
      </c>
      <c r="H93" s="246">
        <v>21</v>
      </c>
      <c r="I93" s="246">
        <v>31</v>
      </c>
      <c r="J93" s="246">
        <v>23</v>
      </c>
      <c r="K93" s="264">
        <v>22</v>
      </c>
      <c r="L93" s="270">
        <v>21</v>
      </c>
      <c r="M93" s="247">
        <v>22</v>
      </c>
      <c r="N93" s="247">
        <v>14</v>
      </c>
      <c r="O93" s="247">
        <v>0</v>
      </c>
      <c r="P93" s="280">
        <v>0</v>
      </c>
      <c r="Q93" s="285">
        <f>SUMPRODUCT(D93:P93,GC_Estim1_07_SURF_24_25!D93:P93)/GC_Estim1_07_SURF_24_25!Q93</f>
        <v>23.700388438249743</v>
      </c>
      <c r="R93" s="195"/>
      <c r="S93" s="170"/>
      <c r="T93" s="176"/>
    </row>
    <row r="94" spans="2:20" ht="15" customHeight="1">
      <c r="B94" s="458"/>
      <c r="C94" s="290" t="s">
        <v>141</v>
      </c>
      <c r="D94" s="295">
        <v>21.494703389830509</v>
      </c>
      <c r="E94" s="246">
        <v>19.671641791044777</v>
      </c>
      <c r="F94" s="246">
        <v>22.391580354159707</v>
      </c>
      <c r="G94" s="246">
        <v>20.73309823826246</v>
      </c>
      <c r="H94" s="246">
        <v>22.387263339070568</v>
      </c>
      <c r="I94" s="246">
        <v>26.682834247153099</v>
      </c>
      <c r="J94" s="246">
        <v>22.310502283105023</v>
      </c>
      <c r="K94" s="264">
        <v>23.604814004376369</v>
      </c>
      <c r="L94" s="270">
        <v>20.879939209726444</v>
      </c>
      <c r="M94" s="247">
        <v>21.433070866141733</v>
      </c>
      <c r="N94" s="247">
        <v>14.347222222222221</v>
      </c>
      <c r="O94" s="247">
        <v>0</v>
      </c>
      <c r="P94" s="280">
        <v>0</v>
      </c>
      <c r="Q94" s="285">
        <f>SUMPRODUCT(D94:P94,GC_Estim1_07_SURF_24_25!D94:P94)/GC_Estim1_07_SURF_24_25!Q94</f>
        <v>21.954413549511422</v>
      </c>
      <c r="R94" s="195"/>
      <c r="S94" s="170"/>
      <c r="T94" s="176"/>
    </row>
    <row r="95" spans="2:20" ht="15" customHeight="1">
      <c r="B95" s="458"/>
      <c r="C95" s="290" t="s">
        <v>142</v>
      </c>
      <c r="D95" s="295">
        <v>23.22417251755266</v>
      </c>
      <c r="E95" s="246">
        <v>20.645980253878701</v>
      </c>
      <c r="F95" s="246">
        <v>24.491193036354328</v>
      </c>
      <c r="G95" s="246">
        <v>23.870462149401206</v>
      </c>
      <c r="H95" s="246">
        <v>23.980237154150199</v>
      </c>
      <c r="I95" s="246">
        <v>27.554447312837361</v>
      </c>
      <c r="J95" s="246">
        <v>24.315930747550663</v>
      </c>
      <c r="K95" s="264">
        <v>25.31165092217724</v>
      </c>
      <c r="L95" s="270">
        <v>22.700569925471285</v>
      </c>
      <c r="M95" s="247">
        <v>24.148907103825138</v>
      </c>
      <c r="N95" s="247">
        <v>15.480263157894736</v>
      </c>
      <c r="O95" s="247">
        <v>0</v>
      </c>
      <c r="P95" s="280">
        <v>14.5</v>
      </c>
      <c r="Q95" s="285">
        <f>SUMPRODUCT(D95:P95,GC_Estim1_07_SURF_24_25!D95:P95)/GC_Estim1_07_SURF_24_25!Q95</f>
        <v>24.432821824875408</v>
      </c>
      <c r="R95" s="195"/>
      <c r="S95" s="170"/>
      <c r="T95" s="176"/>
    </row>
    <row r="96" spans="2:20" ht="15" customHeight="1">
      <c r="B96" s="458"/>
      <c r="C96" s="291" t="s">
        <v>112</v>
      </c>
      <c r="D96" s="298"/>
      <c r="E96" s="299"/>
      <c r="F96" s="299"/>
      <c r="G96" s="299"/>
      <c r="H96" s="299"/>
      <c r="I96" s="299"/>
      <c r="J96" s="299"/>
      <c r="K96" s="300"/>
      <c r="L96" s="298"/>
      <c r="M96" s="299"/>
      <c r="N96" s="299"/>
      <c r="O96" s="299"/>
      <c r="P96" s="301"/>
      <c r="Q96" s="302"/>
      <c r="R96" s="162"/>
      <c r="S96" s="170"/>
      <c r="T96" s="176"/>
    </row>
    <row r="97" spans="2:19" ht="15" customHeight="1">
      <c r="B97" s="458"/>
      <c r="C97" s="291" t="s">
        <v>168</v>
      </c>
      <c r="D97" s="298"/>
      <c r="E97" s="299"/>
      <c r="F97" s="299"/>
      <c r="G97" s="299"/>
      <c r="H97" s="299"/>
      <c r="I97" s="299"/>
      <c r="J97" s="299"/>
      <c r="K97" s="300"/>
      <c r="L97" s="298"/>
      <c r="M97" s="299"/>
      <c r="N97" s="299"/>
      <c r="O97" s="299"/>
      <c r="P97" s="301"/>
      <c r="Q97" s="302"/>
      <c r="R97" s="162"/>
      <c r="S97" s="170"/>
    </row>
    <row r="98" spans="2:19" ht="15" customHeight="1" thickBot="1">
      <c r="B98" s="461"/>
      <c r="C98" s="294" t="s">
        <v>169</v>
      </c>
      <c r="D98" s="347"/>
      <c r="E98" s="348"/>
      <c r="F98" s="348"/>
      <c r="G98" s="348"/>
      <c r="H98" s="348"/>
      <c r="I98" s="348"/>
      <c r="J98" s="348"/>
      <c r="K98" s="349"/>
      <c r="L98" s="347"/>
      <c r="M98" s="348"/>
      <c r="N98" s="348"/>
      <c r="O98" s="348"/>
      <c r="P98" s="350"/>
      <c r="Q98" s="351"/>
      <c r="R98" s="162"/>
      <c r="S98" s="170"/>
    </row>
    <row r="99" spans="2:19" ht="16.5" customHeight="1">
      <c r="B99" s="152" t="s">
        <v>143</v>
      </c>
      <c r="D99" s="149"/>
      <c r="E99" s="149"/>
      <c r="F99" s="149"/>
      <c r="G99" s="149"/>
      <c r="H99" s="149"/>
      <c r="I99" s="149"/>
      <c r="J99" s="149"/>
      <c r="K99" s="149"/>
      <c r="L99" s="150"/>
      <c r="M99" s="150"/>
      <c r="N99" s="150"/>
      <c r="O99" s="150"/>
      <c r="P99" s="150"/>
      <c r="Q99" s="202"/>
      <c r="S99" s="170"/>
    </row>
    <row r="100" spans="2:19" ht="15" customHeight="1">
      <c r="B100" s="148" t="str">
        <f>GC_Estim1_07_SURF_RDT_24_25!A70</f>
        <v>(5) : SAA 2024 provisoire</v>
      </c>
      <c r="D100" s="447"/>
      <c r="E100" s="447"/>
      <c r="F100" s="447"/>
      <c r="G100" s="447"/>
      <c r="H100" s="447"/>
      <c r="I100" s="447"/>
      <c r="J100" s="447"/>
      <c r="K100" s="447"/>
      <c r="L100" s="447"/>
      <c r="M100" s="447"/>
      <c r="N100" s="447"/>
      <c r="O100" s="447"/>
      <c r="P100" s="447"/>
      <c r="S100" s="170"/>
    </row>
    <row r="101" spans="2:19" ht="13.5" customHeight="1">
      <c r="B101" s="152"/>
      <c r="S101" s="170"/>
    </row>
    <row r="102" spans="2:19" ht="15" customHeight="1">
      <c r="B102" s="153"/>
      <c r="Q102" s="203"/>
      <c r="S102" s="170"/>
    </row>
    <row r="103" spans="2:19" ht="13.5" customHeight="1">
      <c r="B103" s="153"/>
      <c r="C103" s="153"/>
      <c r="S103" s="170"/>
    </row>
    <row r="104" spans="2:19" ht="15" customHeight="1">
      <c r="S104" s="170"/>
    </row>
    <row r="105" spans="2:19" ht="13.5" customHeight="1">
      <c r="S105" s="170"/>
    </row>
    <row r="106" spans="2:19" ht="13.5" customHeight="1">
      <c r="S106" s="170"/>
    </row>
    <row r="107" spans="2:19" ht="13.5" customHeight="1">
      <c r="S107" s="170"/>
    </row>
    <row r="108" spans="2:19" ht="13.5" customHeight="1">
      <c r="S108" s="170"/>
    </row>
    <row r="109" spans="2:19" ht="13.5" customHeight="1">
      <c r="S109" s="170"/>
    </row>
    <row r="110" spans="2:19" ht="14.25" customHeight="1">
      <c r="S110" s="170"/>
    </row>
    <row r="111" spans="2:19" ht="19.5" customHeight="1">
      <c r="S111" s="170"/>
    </row>
    <row r="112" spans="2:19">
      <c r="S112" s="170"/>
    </row>
    <row r="113" spans="19:19">
      <c r="S113" s="170"/>
    </row>
    <row r="114" spans="19:19">
      <c r="S114" s="170"/>
    </row>
    <row r="115" spans="19:19">
      <c r="S115" s="170"/>
    </row>
    <row r="116" spans="19:19">
      <c r="S116" s="170"/>
    </row>
    <row r="117" spans="19:19">
      <c r="S117" s="170"/>
    </row>
    <row r="118" spans="19:19">
      <c r="S118" s="170"/>
    </row>
    <row r="119" spans="19:19">
      <c r="S119" s="170"/>
    </row>
    <row r="120" spans="19:19">
      <c r="S120" s="170"/>
    </row>
    <row r="121" spans="19:19">
      <c r="S121" s="170"/>
    </row>
    <row r="122" spans="19:19" ht="13.4" customHeight="1">
      <c r="S122" s="170"/>
    </row>
    <row r="123" spans="19:19">
      <c r="S123" s="170"/>
    </row>
    <row r="124" spans="19:19">
      <c r="S124" s="170"/>
    </row>
    <row r="125" spans="19:19">
      <c r="S125" s="170"/>
    </row>
    <row r="126" spans="19:19">
      <c r="S126" s="170"/>
    </row>
    <row r="127" spans="19:19">
      <c r="S127" s="170"/>
    </row>
    <row r="128" spans="19:19">
      <c r="S128" s="170"/>
    </row>
    <row r="129" spans="19:19">
      <c r="S129" s="170"/>
    </row>
    <row r="130" spans="19:19">
      <c r="S130" s="170"/>
    </row>
    <row r="131" spans="19:19">
      <c r="S131" s="170"/>
    </row>
    <row r="132" spans="19:19">
      <c r="S132" s="170"/>
    </row>
    <row r="133" spans="19:19">
      <c r="S133" s="170"/>
    </row>
    <row r="134" spans="19:19">
      <c r="S134" s="170"/>
    </row>
    <row r="135" spans="19:19">
      <c r="S135" s="170"/>
    </row>
    <row r="136" spans="19:19">
      <c r="S136" s="170"/>
    </row>
    <row r="137" spans="19:19">
      <c r="S137" s="170"/>
    </row>
    <row r="138" spans="19:19">
      <c r="S138" s="170"/>
    </row>
    <row r="139" spans="19:19">
      <c r="S139" s="170"/>
    </row>
  </sheetData>
  <sheetProtection selectLockedCells="1" selectUnlockedCells="1"/>
  <mergeCells count="13">
    <mergeCell ref="B92:B98"/>
    <mergeCell ref="B50:B56"/>
    <mergeCell ref="B57:B63"/>
    <mergeCell ref="B64:B70"/>
    <mergeCell ref="B71:B77"/>
    <mergeCell ref="B78:B84"/>
    <mergeCell ref="B85:B91"/>
    <mergeCell ref="B43:B49"/>
    <mergeCell ref="A1:M1"/>
    <mergeCell ref="B15:B21"/>
    <mergeCell ref="B22:B28"/>
    <mergeCell ref="B29:B35"/>
    <mergeCell ref="B36:B42"/>
  </mergeCells>
  <hyperlinks>
    <hyperlink ref="T1" location="'Sommaire&amp;Méthodo'!A1" display="Retour Sommaire"/>
  </hyperlinks>
  <pageMargins left="0.74803149606299213" right="0.74803149606299213" top="0.98425196850393704" bottom="0.98425196850393704" header="0.51181102362204722" footer="0.51181102362204722"/>
  <pageSetup paperSize="9" firstPageNumber="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showGridLines="0" topLeftCell="A10" zoomScale="95" zoomScaleNormal="95" workbookViewId="0">
      <selection activeCell="F57" sqref="F57:F60"/>
    </sheetView>
  </sheetViews>
  <sheetFormatPr baseColWidth="10" defaultColWidth="11" defaultRowHeight="16"/>
  <cols>
    <col min="1" max="1" width="11.453125" style="137" customWidth="1"/>
    <col min="2" max="2" width="10.453125" style="137" customWidth="1"/>
    <col min="3" max="4" width="11.1796875" style="137" customWidth="1"/>
    <col min="5" max="5" width="10.81640625" style="137" customWidth="1"/>
    <col min="6" max="6" width="13.453125" style="99" customWidth="1"/>
    <col min="7" max="10" width="11" style="99" customWidth="1"/>
    <col min="11" max="11" width="12" style="99" customWidth="1"/>
    <col min="12" max="13" width="11.453125" style="99" customWidth="1"/>
    <col min="14" max="16384" width="11" style="99"/>
  </cols>
  <sheetData>
    <row r="1" spans="1:18">
      <c r="R1" s="245" t="s">
        <v>138</v>
      </c>
    </row>
    <row r="6" spans="1:18" s="20" customFormat="1" ht="18.5">
      <c r="A6" s="128"/>
      <c r="B6" s="128"/>
      <c r="C6" s="129"/>
      <c r="D6" s="129"/>
      <c r="E6" s="129"/>
    </row>
    <row r="7" spans="1:18" s="20" customFormat="1" ht="18.5">
      <c r="A7" s="128" t="s">
        <v>54</v>
      </c>
      <c r="B7" s="128"/>
      <c r="C7" s="129"/>
      <c r="D7" s="129"/>
      <c r="E7" s="129"/>
    </row>
    <row r="9" spans="1:18" s="21" customFormat="1" ht="18.5">
      <c r="A9" s="463" t="s">
        <v>55</v>
      </c>
      <c r="B9" s="463"/>
      <c r="C9" s="463"/>
      <c r="D9" s="463"/>
      <c r="E9" s="463"/>
      <c r="F9" s="463"/>
      <c r="H9" s="22"/>
    </row>
    <row r="10" spans="1:18" s="21" customFormat="1" ht="12.75" customHeight="1" thickBot="1">
      <c r="A10" s="130"/>
      <c r="B10" s="130"/>
      <c r="C10" s="131"/>
      <c r="D10" s="131"/>
      <c r="E10" s="130"/>
    </row>
    <row r="11" spans="1:18" s="21" customFormat="1" ht="31.5" customHeight="1" thickTop="1" thickBot="1">
      <c r="A11" s="420" t="s">
        <v>68</v>
      </c>
      <c r="B11" s="424" t="s">
        <v>114</v>
      </c>
      <c r="C11" s="425" t="s">
        <v>88</v>
      </c>
      <c r="D11" s="425" t="s">
        <v>115</v>
      </c>
      <c r="E11" s="426" t="s">
        <v>116</v>
      </c>
      <c r="F11" s="27"/>
      <c r="G11" s="27"/>
      <c r="H11" s="27"/>
      <c r="I11" s="27"/>
      <c r="J11" s="27"/>
      <c r="K11" s="27"/>
    </row>
    <row r="12" spans="1:18" s="21" customFormat="1" ht="13" thickTop="1">
      <c r="A12" s="138" t="s">
        <v>56</v>
      </c>
      <c r="B12" s="88">
        <v>228.61</v>
      </c>
      <c r="C12" s="88">
        <v>234.72</v>
      </c>
      <c r="D12" s="88">
        <v>219.18</v>
      </c>
      <c r="E12" s="89">
        <f>D12/C12-1</f>
        <v>-6.6206543967280096E-2</v>
      </c>
      <c r="F12" s="157"/>
      <c r="G12" s="27"/>
      <c r="H12" s="27"/>
      <c r="I12" s="27"/>
      <c r="J12" s="27"/>
      <c r="K12" s="27"/>
    </row>
    <row r="13" spans="1:18" s="21" customFormat="1" ht="12.5">
      <c r="A13" s="139" t="s">
        <v>57</v>
      </c>
      <c r="B13" s="90">
        <v>229.35</v>
      </c>
      <c r="C13" s="90">
        <v>227.24</v>
      </c>
      <c r="D13" s="90">
        <v>208.43</v>
      </c>
      <c r="E13" s="91">
        <f>D13/C13-1</f>
        <v>-8.2775919732441472E-2</v>
      </c>
      <c r="F13" s="157"/>
      <c r="G13" s="27"/>
      <c r="H13" s="27"/>
      <c r="I13" s="27"/>
      <c r="J13" s="27"/>
      <c r="K13" s="27"/>
    </row>
    <row r="14" spans="1:18" s="21" customFormat="1" ht="12.5">
      <c r="A14" s="139" t="s">
        <v>58</v>
      </c>
      <c r="B14" s="90">
        <v>232.39</v>
      </c>
      <c r="C14" s="90">
        <v>227.71</v>
      </c>
      <c r="D14" s="90">
        <v>214.64</v>
      </c>
      <c r="E14" s="91">
        <f>D14/C14-1</f>
        <v>-5.7397567080936351E-2</v>
      </c>
      <c r="F14" s="157"/>
      <c r="G14" s="27"/>
      <c r="H14" s="27"/>
      <c r="I14" s="27"/>
      <c r="J14" s="27"/>
      <c r="K14" s="27"/>
    </row>
    <row r="15" spans="1:18" s="21" customFormat="1" ht="12.5">
      <c r="A15" s="139" t="s">
        <v>59</v>
      </c>
      <c r="B15" s="90">
        <v>257.56</v>
      </c>
      <c r="C15" s="90">
        <v>229.21</v>
      </c>
      <c r="D15" s="90">
        <v>223.78</v>
      </c>
      <c r="E15" s="91">
        <f>D15/C15-1</f>
        <v>-2.3690065878452127E-2</v>
      </c>
      <c r="F15" s="27"/>
      <c r="G15" s="27"/>
      <c r="H15" s="27"/>
      <c r="I15" s="27"/>
      <c r="J15" s="27"/>
      <c r="K15" s="27"/>
    </row>
    <row r="16" spans="1:18" s="21" customFormat="1" ht="12.5">
      <c r="A16" s="139" t="s">
        <v>60</v>
      </c>
      <c r="B16" s="90">
        <v>244.26</v>
      </c>
      <c r="C16" s="90">
        <v>221.19</v>
      </c>
      <c r="D16" s="90">
        <v>217.43</v>
      </c>
      <c r="E16" s="91">
        <f>D16/C16-1</f>
        <v>-1.6998960169989585E-2</v>
      </c>
      <c r="F16" s="197"/>
      <c r="G16" s="27"/>
      <c r="H16" s="27"/>
      <c r="I16" s="27"/>
      <c r="J16" s="27"/>
      <c r="K16" s="27"/>
    </row>
    <row r="17" spans="1:13" s="21" customFormat="1" ht="12.5">
      <c r="A17" s="139" t="s">
        <v>61</v>
      </c>
      <c r="B17" s="90">
        <v>232.1</v>
      </c>
      <c r="C17" s="90">
        <v>202.75</v>
      </c>
      <c r="D17" s="90">
        <v>225.55</v>
      </c>
      <c r="E17" s="91">
        <f t="shared" ref="E17:E23" si="0">D17/C17-1</f>
        <v>0.11245376078914915</v>
      </c>
      <c r="F17" s="27"/>
      <c r="G17" s="27"/>
      <c r="H17" s="27"/>
      <c r="I17" s="27"/>
      <c r="J17" s="27"/>
      <c r="K17" s="27"/>
    </row>
    <row r="18" spans="1:13" s="23" customFormat="1" ht="13" customHeight="1">
      <c r="A18" s="139" t="s">
        <v>62</v>
      </c>
      <c r="B18" s="90">
        <v>237.21</v>
      </c>
      <c r="C18" s="90">
        <v>211.66</v>
      </c>
      <c r="D18" s="90">
        <v>224.35888888888891</v>
      </c>
      <c r="E18" s="91">
        <f t="shared" si="0"/>
        <v>5.9996640314130767E-2</v>
      </c>
      <c r="F18" s="28"/>
      <c r="G18" s="28"/>
      <c r="H18" s="28"/>
      <c r="I18" s="28"/>
      <c r="J18" s="28"/>
      <c r="K18" s="28"/>
    </row>
    <row r="19" spans="1:13" s="21" customFormat="1" ht="13" customHeight="1">
      <c r="A19" s="139" t="s">
        <v>63</v>
      </c>
      <c r="B19" s="90">
        <v>233.22</v>
      </c>
      <c r="C19" s="90">
        <v>197.57</v>
      </c>
      <c r="D19" s="90">
        <v>224.84299999999993</v>
      </c>
      <c r="E19" s="91">
        <f t="shared" si="0"/>
        <v>0.13804221288657148</v>
      </c>
      <c r="F19" s="27"/>
      <c r="G19" s="27"/>
      <c r="H19" s="27"/>
      <c r="I19" s="27"/>
      <c r="J19" s="27"/>
      <c r="K19" s="27"/>
    </row>
    <row r="20" spans="1:13" s="21" customFormat="1" ht="13" customHeight="1">
      <c r="A20" s="139" t="s">
        <v>64</v>
      </c>
      <c r="B20" s="90">
        <v>243.24</v>
      </c>
      <c r="C20" s="90">
        <v>176.06</v>
      </c>
      <c r="D20" s="90">
        <v>215.52500000000003</v>
      </c>
      <c r="E20" s="91">
        <f t="shared" si="0"/>
        <v>0.22415653754401932</v>
      </c>
      <c r="F20" s="27"/>
      <c r="G20" s="27"/>
      <c r="H20" s="27"/>
      <c r="I20" s="27"/>
      <c r="J20" s="27"/>
      <c r="K20" s="27"/>
      <c r="M20" s="115"/>
    </row>
    <row r="21" spans="1:13" s="21" customFormat="1" ht="13" customHeight="1">
      <c r="A21" s="139" t="s">
        <v>65</v>
      </c>
      <c r="B21" s="90">
        <v>246.17</v>
      </c>
      <c r="C21" s="90">
        <v>194.6</v>
      </c>
      <c r="D21" s="90">
        <v>206.25078947368422</v>
      </c>
      <c r="E21" s="91">
        <f t="shared" si="0"/>
        <v>5.987044950505771E-2</v>
      </c>
      <c r="F21" s="27"/>
      <c r="G21" s="27"/>
      <c r="H21" s="27"/>
      <c r="I21" s="27"/>
      <c r="J21" s="27"/>
      <c r="K21" s="27"/>
    </row>
    <row r="22" spans="1:13" s="21" customFormat="1" ht="13" customHeight="1">
      <c r="A22" s="139" t="s">
        <v>66</v>
      </c>
      <c r="B22" s="90">
        <v>259.58999999999997</v>
      </c>
      <c r="C22" s="90">
        <v>226.39</v>
      </c>
      <c r="D22" s="90">
        <v>192.39727272727271</v>
      </c>
      <c r="E22" s="91">
        <f t="shared" si="0"/>
        <v>-0.15015118721112808</v>
      </c>
      <c r="F22" s="157"/>
      <c r="G22" s="27"/>
      <c r="H22" s="27"/>
      <c r="I22" s="27"/>
      <c r="J22" s="27"/>
      <c r="K22" s="27"/>
    </row>
    <row r="23" spans="1:13" s="21" customFormat="1" ht="13" customHeight="1" thickBot="1">
      <c r="A23" s="140" t="s">
        <v>67</v>
      </c>
      <c r="B23" s="92">
        <v>242.59</v>
      </c>
      <c r="C23" s="92">
        <v>230.27</v>
      </c>
      <c r="D23" s="92">
        <v>194.76</v>
      </c>
      <c r="E23" s="91">
        <f t="shared" si="0"/>
        <v>-0.15421027489468897</v>
      </c>
      <c r="F23" s="27"/>
      <c r="G23" s="27"/>
      <c r="H23" s="27"/>
      <c r="I23" s="27"/>
      <c r="J23" s="27"/>
      <c r="K23" s="27"/>
    </row>
    <row r="24" spans="1:13" ht="16.5" thickTop="1">
      <c r="A24" s="133" t="s">
        <v>117</v>
      </c>
      <c r="B24" s="132"/>
      <c r="C24" s="133"/>
      <c r="D24" s="133"/>
      <c r="E24" s="133"/>
      <c r="F24" s="438"/>
      <c r="G24" s="29"/>
      <c r="H24" s="29"/>
      <c r="I24" s="29"/>
      <c r="J24" s="29"/>
      <c r="K24" s="29"/>
    </row>
    <row r="25" spans="1:13">
      <c r="A25" s="133"/>
      <c r="B25" s="133"/>
      <c r="C25" s="133"/>
      <c r="D25" s="133"/>
      <c r="E25" s="133"/>
      <c r="F25" s="29"/>
      <c r="G25" s="29" t="s">
        <v>117</v>
      </c>
      <c r="H25" s="29"/>
      <c r="I25" s="29"/>
      <c r="J25" s="29"/>
      <c r="K25" s="29"/>
    </row>
    <row r="26" spans="1:13" ht="24" customHeight="1">
      <c r="A26" s="133"/>
      <c r="B26" s="133"/>
      <c r="C26" s="133"/>
      <c r="D26" s="133"/>
      <c r="E26" s="133"/>
      <c r="F26" s="29"/>
      <c r="G26" s="29"/>
      <c r="H26" s="29"/>
      <c r="I26" s="29"/>
      <c r="J26" s="29"/>
      <c r="K26" s="29"/>
    </row>
    <row r="27" spans="1:13" ht="27.65" customHeight="1">
      <c r="A27" s="464" t="s">
        <v>126</v>
      </c>
      <c r="B27" s="464"/>
      <c r="C27" s="464"/>
      <c r="D27" s="464"/>
      <c r="E27" s="464"/>
      <c r="F27" s="464"/>
      <c r="G27" s="29"/>
      <c r="H27" s="29"/>
      <c r="I27" s="29"/>
      <c r="J27" s="29"/>
      <c r="K27" s="29"/>
    </row>
    <row r="28" spans="1:13" ht="14" thickBot="1">
      <c r="A28" s="134"/>
      <c r="B28" s="134"/>
      <c r="C28" s="132"/>
      <c r="D28" s="132"/>
      <c r="E28" s="134"/>
      <c r="F28" s="29"/>
      <c r="G28" s="29"/>
      <c r="H28" s="29"/>
      <c r="I28" s="29"/>
      <c r="J28" s="29"/>
      <c r="K28" s="29"/>
    </row>
    <row r="29" spans="1:13" ht="33.5" customHeight="1" thickTop="1" thickBot="1">
      <c r="A29" s="420" t="s">
        <v>68</v>
      </c>
      <c r="B29" s="424" t="s">
        <v>114</v>
      </c>
      <c r="C29" s="425" t="s">
        <v>88</v>
      </c>
      <c r="D29" s="425" t="s">
        <v>115</v>
      </c>
      <c r="E29" s="426" t="s">
        <v>116</v>
      </c>
      <c r="F29" s="29"/>
      <c r="G29" s="29"/>
      <c r="H29" s="29"/>
      <c r="I29" s="29"/>
      <c r="J29" s="29"/>
      <c r="K29" s="29"/>
    </row>
    <row r="30" spans="1:13" ht="14" thickTop="1">
      <c r="A30" s="138" t="s">
        <v>56</v>
      </c>
      <c r="B30" s="88">
        <v>340.68</v>
      </c>
      <c r="C30" s="88">
        <v>369.7</v>
      </c>
      <c r="D30" s="88">
        <v>297.94</v>
      </c>
      <c r="E30" s="89">
        <f>D30/C30-1</f>
        <v>-0.19410332702190969</v>
      </c>
      <c r="F30" s="30"/>
      <c r="G30" s="29"/>
      <c r="H30" s="29"/>
      <c r="I30" s="29"/>
      <c r="J30" s="29"/>
      <c r="K30" s="29"/>
    </row>
    <row r="31" spans="1:13" ht="13.5">
      <c r="A31" s="139" t="s">
        <v>57</v>
      </c>
      <c r="B31" s="90">
        <v>368.33</v>
      </c>
      <c r="C31" s="90">
        <v>426.25</v>
      </c>
      <c r="D31" s="90">
        <v>270</v>
      </c>
      <c r="E31" s="91">
        <f>D31/C31-1</f>
        <v>-0.36656891495601174</v>
      </c>
      <c r="F31" s="30"/>
      <c r="G31" s="29"/>
      <c r="H31" s="29"/>
      <c r="I31" s="29"/>
      <c r="J31" s="29"/>
      <c r="K31" s="29"/>
    </row>
    <row r="32" spans="1:13" ht="13.5">
      <c r="A32" s="139" t="s">
        <v>58</v>
      </c>
      <c r="B32" s="90">
        <v>357.56</v>
      </c>
      <c r="C32" s="90">
        <v>389.75</v>
      </c>
      <c r="D32" s="90">
        <v>292.67</v>
      </c>
      <c r="E32" s="91">
        <f>D32/C32-1</f>
        <v>-0.24908274534958308</v>
      </c>
      <c r="F32" s="30"/>
      <c r="G32" s="29"/>
      <c r="H32" s="29"/>
      <c r="I32" s="29"/>
      <c r="J32" s="29"/>
      <c r="K32" s="29"/>
    </row>
    <row r="33" spans="1:13" ht="13.5">
      <c r="A33" s="139" t="s">
        <v>59</v>
      </c>
      <c r="B33" s="90">
        <v>380.64</v>
      </c>
      <c r="C33" s="90">
        <v>392.67</v>
      </c>
      <c r="D33" s="90">
        <v>299.23</v>
      </c>
      <c r="E33" s="91">
        <f>D33/C33-1</f>
        <v>-0.2379606285175847</v>
      </c>
      <c r="F33" s="30"/>
      <c r="G33" s="29"/>
      <c r="H33" s="29"/>
      <c r="I33" s="29"/>
      <c r="J33" s="29"/>
      <c r="K33" s="29"/>
    </row>
    <row r="34" spans="1:13" ht="13.5">
      <c r="A34" s="139" t="s">
        <v>60</v>
      </c>
      <c r="B34" s="90">
        <v>377.84</v>
      </c>
      <c r="C34" s="90">
        <v>376.92</v>
      </c>
      <c r="D34" s="90">
        <v>303.92</v>
      </c>
      <c r="E34" s="91">
        <f>D34/C34-1</f>
        <v>-0.1936750504085748</v>
      </c>
      <c r="F34" s="198"/>
      <c r="G34" s="29"/>
      <c r="H34" s="29"/>
      <c r="I34" s="29"/>
      <c r="J34" s="29"/>
      <c r="K34" s="29"/>
    </row>
    <row r="35" spans="1:13" ht="13.5">
      <c r="A35" s="139" t="s">
        <v>61</v>
      </c>
      <c r="B35" s="90">
        <v>369.88</v>
      </c>
      <c r="C35" s="90">
        <v>358.67</v>
      </c>
      <c r="D35" s="90">
        <v>297.5</v>
      </c>
      <c r="E35" s="91">
        <f t="shared" ref="E35:E40" si="1">D35/C35-1</f>
        <v>-0.17054674213064935</v>
      </c>
      <c r="F35" s="30"/>
      <c r="G35" s="29"/>
      <c r="H35" s="29"/>
      <c r="I35" s="29"/>
      <c r="J35" s="29"/>
      <c r="K35" s="29"/>
    </row>
    <row r="36" spans="1:13" ht="13.5">
      <c r="A36" s="139" t="s">
        <v>62</v>
      </c>
      <c r="B36" s="90">
        <v>386.26</v>
      </c>
      <c r="C36" s="90">
        <v>357.4</v>
      </c>
      <c r="D36" s="90">
        <v>299.56</v>
      </c>
      <c r="E36" s="91">
        <f t="shared" si="1"/>
        <v>-0.16183547845551194</v>
      </c>
      <c r="F36" s="30"/>
      <c r="G36" s="29"/>
      <c r="H36" s="29"/>
      <c r="I36" s="29"/>
      <c r="J36" s="29"/>
      <c r="K36" s="29"/>
    </row>
    <row r="37" spans="1:13" ht="13.5">
      <c r="A37" s="139" t="s">
        <v>63</v>
      </c>
      <c r="B37" s="90">
        <v>358.34</v>
      </c>
      <c r="C37" s="90">
        <v>349.38</v>
      </c>
      <c r="D37" s="90">
        <v>302.64</v>
      </c>
      <c r="E37" s="91">
        <f t="shared" si="1"/>
        <v>-0.13377983857118325</v>
      </c>
      <c r="F37" s="30"/>
      <c r="G37" s="29"/>
      <c r="H37" s="29"/>
      <c r="I37" s="29"/>
      <c r="J37" s="29"/>
      <c r="K37" s="29"/>
    </row>
    <row r="38" spans="1:13" ht="13.5">
      <c r="A38" s="139" t="s">
        <v>64</v>
      </c>
      <c r="B38" s="90">
        <v>346.73</v>
      </c>
      <c r="C38" s="90">
        <v>320.5</v>
      </c>
      <c r="D38" s="90">
        <v>303.32</v>
      </c>
      <c r="E38" s="91">
        <f t="shared" si="1"/>
        <v>-5.3603744149765986E-2</v>
      </c>
      <c r="F38" s="30"/>
      <c r="G38" s="29"/>
      <c r="H38" s="29"/>
      <c r="I38" s="29"/>
      <c r="J38" s="29"/>
      <c r="K38" s="29"/>
    </row>
    <row r="39" spans="1:13" ht="13.5">
      <c r="A39" s="139" t="s">
        <v>65</v>
      </c>
      <c r="B39" s="90">
        <v>340.75</v>
      </c>
      <c r="C39" s="90">
        <v>312.5</v>
      </c>
      <c r="D39" s="90">
        <v>293.25</v>
      </c>
      <c r="E39" s="91">
        <f t="shared" si="1"/>
        <v>-6.1599999999999988E-2</v>
      </c>
      <c r="F39" s="198"/>
      <c r="G39" s="29"/>
      <c r="H39" s="29"/>
      <c r="I39" s="29"/>
      <c r="J39" s="29"/>
      <c r="K39" s="29"/>
    </row>
    <row r="40" spans="1:13" ht="13.5">
      <c r="A40" s="139" t="s">
        <v>66</v>
      </c>
      <c r="B40" s="90">
        <v>347.96</v>
      </c>
      <c r="C40" s="90">
        <v>332.5</v>
      </c>
      <c r="D40" s="90"/>
      <c r="E40" s="91">
        <f t="shared" si="1"/>
        <v>-1</v>
      </c>
      <c r="F40" s="158"/>
      <c r="G40" s="29"/>
      <c r="H40" s="29"/>
      <c r="I40" s="29"/>
      <c r="J40" s="29"/>
      <c r="K40" s="29"/>
    </row>
    <row r="41" spans="1:13" ht="14" thickBot="1">
      <c r="A41" s="140" t="s">
        <v>67</v>
      </c>
      <c r="B41" s="92">
        <v>354.57</v>
      </c>
      <c r="C41" s="92">
        <v>314.45</v>
      </c>
      <c r="D41" s="92"/>
      <c r="E41" s="93"/>
      <c r="F41" s="30"/>
      <c r="G41" s="29"/>
      <c r="H41" s="29"/>
      <c r="I41" s="29"/>
      <c r="J41" s="29"/>
      <c r="K41" s="29"/>
    </row>
    <row r="42" spans="1:13" ht="16.5" thickTop="1">
      <c r="A42" s="133" t="s">
        <v>117</v>
      </c>
      <c r="B42" s="133"/>
      <c r="C42" s="133"/>
      <c r="D42" s="133"/>
      <c r="E42" s="133"/>
      <c r="F42" s="29"/>
      <c r="G42" s="29" t="s">
        <v>117</v>
      </c>
      <c r="H42" s="29"/>
      <c r="I42" s="29"/>
      <c r="J42" s="29"/>
      <c r="K42" s="29"/>
    </row>
    <row r="43" spans="1:13">
      <c r="A43" s="133"/>
      <c r="B43" s="135"/>
      <c r="C43" s="135"/>
      <c r="D43" s="135"/>
      <c r="E43" s="133"/>
      <c r="F43" s="29"/>
      <c r="G43" s="29"/>
      <c r="H43" s="29"/>
      <c r="I43" s="29"/>
      <c r="J43" s="29"/>
      <c r="K43" s="29"/>
    </row>
    <row r="44" spans="1:13" ht="15.75" customHeight="1">
      <c r="A44" s="133"/>
      <c r="B44" s="133"/>
      <c r="C44" s="136"/>
      <c r="D44" s="136"/>
      <c r="E44" s="136"/>
      <c r="F44" s="31"/>
      <c r="G44" s="31"/>
      <c r="H44" s="31"/>
      <c r="I44" s="31"/>
      <c r="J44" s="31"/>
      <c r="K44" s="31"/>
      <c r="L44" s="24"/>
      <c r="M44" s="24"/>
    </row>
    <row r="45" spans="1:13" s="21" customFormat="1" ht="18.5">
      <c r="A45" s="464" t="s">
        <v>69</v>
      </c>
      <c r="B45" s="464"/>
      <c r="C45" s="464"/>
      <c r="D45" s="464"/>
      <c r="E45" s="464"/>
      <c r="F45" s="464"/>
      <c r="G45" s="27"/>
      <c r="H45" s="27"/>
      <c r="I45" s="27"/>
      <c r="J45" s="27"/>
      <c r="K45" s="32"/>
      <c r="L45" s="25"/>
    </row>
    <row r="46" spans="1:13" s="21" customFormat="1" ht="12.75" customHeight="1" thickBot="1">
      <c r="A46" s="134"/>
      <c r="B46" s="134"/>
      <c r="C46" s="132"/>
      <c r="D46" s="132"/>
      <c r="E46" s="134"/>
      <c r="F46" s="462"/>
      <c r="G46" s="462"/>
      <c r="H46" s="462"/>
      <c r="I46" s="462"/>
      <c r="J46" s="462"/>
      <c r="K46" s="462"/>
      <c r="L46" s="26"/>
      <c r="M46" s="26"/>
    </row>
    <row r="47" spans="1:13" s="21" customFormat="1" ht="32.5" customHeight="1" thickTop="1" thickBot="1">
      <c r="A47" s="420" t="s">
        <v>70</v>
      </c>
      <c r="B47" s="421" t="s">
        <v>114</v>
      </c>
      <c r="C47" s="422" t="s">
        <v>88</v>
      </c>
      <c r="D47" s="422" t="s">
        <v>115</v>
      </c>
      <c r="E47" s="423" t="s">
        <v>116</v>
      </c>
      <c r="F47" s="27"/>
      <c r="G47" s="27"/>
      <c r="H47" s="27"/>
      <c r="I47" s="27"/>
      <c r="J47" s="27"/>
      <c r="K47" s="27"/>
    </row>
    <row r="48" spans="1:13" s="21" customFormat="1" ht="13" thickTop="1">
      <c r="A48" s="141" t="s">
        <v>56</v>
      </c>
      <c r="B48" s="33">
        <v>232.24</v>
      </c>
      <c r="C48" s="33">
        <v>238.38</v>
      </c>
      <c r="D48" s="33">
        <v>211.89</v>
      </c>
      <c r="E48" s="34">
        <f>D48/C48-1</f>
        <v>-0.11112509438711304</v>
      </c>
      <c r="F48" s="27"/>
      <c r="G48" s="27"/>
      <c r="H48" s="27"/>
      <c r="I48" s="27"/>
      <c r="J48" s="27"/>
      <c r="K48" s="27"/>
    </row>
    <row r="49" spans="1:11" s="21" customFormat="1" ht="12.5">
      <c r="A49" s="142" t="s">
        <v>57</v>
      </c>
      <c r="B49" s="35">
        <v>236.83</v>
      </c>
      <c r="C49" s="35">
        <v>230.25</v>
      </c>
      <c r="D49" s="35">
        <v>204.28</v>
      </c>
      <c r="E49" s="36">
        <f>D49/C49-1</f>
        <v>-0.11279044516829528</v>
      </c>
      <c r="F49" s="27"/>
      <c r="G49" s="27"/>
      <c r="H49" s="27"/>
      <c r="I49" s="27"/>
      <c r="J49" s="27"/>
      <c r="K49" s="27"/>
    </row>
    <row r="50" spans="1:11" s="21" customFormat="1" ht="12.5">
      <c r="A50" s="142" t="s">
        <v>58</v>
      </c>
      <c r="B50" s="35">
        <v>223.87</v>
      </c>
      <c r="C50" s="35">
        <v>214.74</v>
      </c>
      <c r="D50" s="35">
        <v>205.76</v>
      </c>
      <c r="E50" s="36">
        <f>D50/C50-1</f>
        <v>-4.1818012480208666E-2</v>
      </c>
      <c r="F50" s="27"/>
      <c r="G50" s="27"/>
      <c r="H50" s="27"/>
      <c r="I50" s="27"/>
      <c r="J50" s="27"/>
      <c r="K50" s="27"/>
    </row>
    <row r="51" spans="1:11" s="21" customFormat="1" ht="12.5">
      <c r="A51" s="142" t="s">
        <v>59</v>
      </c>
      <c r="B51" s="35">
        <v>231.34</v>
      </c>
      <c r="C51" s="35">
        <v>204.21</v>
      </c>
      <c r="D51" s="35">
        <v>213.61</v>
      </c>
      <c r="E51" s="36">
        <f>D51/C51-1</f>
        <v>4.6031046471769255E-2</v>
      </c>
      <c r="F51" s="27"/>
      <c r="G51" s="27"/>
      <c r="H51" s="27"/>
      <c r="I51" s="27"/>
      <c r="J51" s="27"/>
      <c r="K51" s="27"/>
    </row>
    <row r="52" spans="1:11" s="21" customFormat="1" ht="12.5">
      <c r="A52" s="142" t="s">
        <v>60</v>
      </c>
      <c r="B52" s="35">
        <v>229.32</v>
      </c>
      <c r="C52" s="35">
        <v>205.45</v>
      </c>
      <c r="D52" s="35">
        <v>207.32</v>
      </c>
      <c r="E52" s="36">
        <f>D52/C52-1</f>
        <v>9.101971282550414E-3</v>
      </c>
      <c r="F52" s="197"/>
      <c r="G52" s="27"/>
      <c r="H52" s="27"/>
      <c r="I52" s="27"/>
      <c r="J52" s="27"/>
      <c r="K52" s="27"/>
    </row>
    <row r="53" spans="1:11" s="21" customFormat="1" ht="12.5">
      <c r="A53" s="142" t="s">
        <v>61</v>
      </c>
      <c r="B53" s="35">
        <v>229.1</v>
      </c>
      <c r="C53" s="35">
        <v>200.19</v>
      </c>
      <c r="D53" s="35">
        <v>206.61</v>
      </c>
      <c r="E53" s="36">
        <f t="shared" ref="E53:E59" si="2">D53/C53-1</f>
        <v>3.2069533942754358E-2</v>
      </c>
      <c r="F53" s="27"/>
      <c r="G53" s="27"/>
      <c r="H53" s="27"/>
      <c r="I53" s="27"/>
      <c r="J53" s="27"/>
      <c r="K53" s="27"/>
    </row>
    <row r="54" spans="1:11" s="23" customFormat="1" ht="13" customHeight="1">
      <c r="A54" s="142" t="s">
        <v>62</v>
      </c>
      <c r="B54" s="35">
        <v>223.87</v>
      </c>
      <c r="C54" s="35">
        <v>192.21</v>
      </c>
      <c r="D54" s="35">
        <v>213.9</v>
      </c>
      <c r="E54" s="36">
        <f t="shared" si="2"/>
        <v>0.11284532542531611</v>
      </c>
      <c r="F54" s="28"/>
      <c r="G54" s="28"/>
      <c r="H54" s="28"/>
      <c r="I54" s="28"/>
      <c r="J54" s="28"/>
      <c r="K54" s="28"/>
    </row>
    <row r="55" spans="1:11" s="21" customFormat="1" ht="13" customHeight="1">
      <c r="A55" s="142" t="s">
        <v>63</v>
      </c>
      <c r="B55" s="35">
        <v>225.87</v>
      </c>
      <c r="C55" s="35">
        <v>177.34</v>
      </c>
      <c r="D55" s="35">
        <v>214.91</v>
      </c>
      <c r="E55" s="36">
        <f t="shared" si="2"/>
        <v>0.2118529378594789</v>
      </c>
      <c r="F55" s="27"/>
      <c r="G55" s="27"/>
      <c r="H55" s="27"/>
      <c r="I55" s="27"/>
      <c r="J55" s="27"/>
      <c r="K55" s="27"/>
    </row>
    <row r="56" spans="1:11" s="21" customFormat="1" ht="13" customHeight="1">
      <c r="A56" s="142" t="s">
        <v>64</v>
      </c>
      <c r="B56" s="35">
        <v>241.01</v>
      </c>
      <c r="C56" s="35">
        <v>180.24</v>
      </c>
      <c r="D56" s="35">
        <v>209.07</v>
      </c>
      <c r="E56" s="36">
        <f t="shared" si="2"/>
        <v>0.15995339547270304</v>
      </c>
      <c r="F56" s="27"/>
      <c r="G56" s="27"/>
      <c r="H56" s="27"/>
      <c r="I56" s="27"/>
      <c r="J56" s="27"/>
      <c r="K56" s="27"/>
    </row>
    <row r="57" spans="1:11" s="21" customFormat="1" ht="13" customHeight="1">
      <c r="A57" s="142" t="s">
        <v>65</v>
      </c>
      <c r="B57" s="35">
        <v>237.67</v>
      </c>
      <c r="C57" s="35">
        <v>193.27</v>
      </c>
      <c r="D57" s="35">
        <v>203.54</v>
      </c>
      <c r="E57" s="36">
        <f t="shared" si="2"/>
        <v>5.3138096962798143E-2</v>
      </c>
      <c r="F57" s="27"/>
      <c r="G57" s="27"/>
      <c r="H57" s="27"/>
      <c r="I57" s="27"/>
      <c r="J57" s="27"/>
      <c r="K57" s="27"/>
    </row>
    <row r="58" spans="1:11" s="21" customFormat="1" ht="13" customHeight="1">
      <c r="A58" s="142" t="s">
        <v>66</v>
      </c>
      <c r="B58" s="35">
        <v>245.72</v>
      </c>
      <c r="C58" s="35">
        <v>211.99</v>
      </c>
      <c r="D58" s="35">
        <v>194.41</v>
      </c>
      <c r="E58" s="36">
        <f t="shared" si="2"/>
        <v>-8.2928440020755723E-2</v>
      </c>
      <c r="F58" s="27"/>
      <c r="G58" s="27"/>
      <c r="H58" s="27"/>
      <c r="I58" s="27"/>
      <c r="J58" s="27"/>
      <c r="K58" s="27"/>
    </row>
    <row r="59" spans="1:11" s="21" customFormat="1" ht="13" customHeight="1" thickBot="1">
      <c r="A59" s="143" t="s">
        <v>67</v>
      </c>
      <c r="B59" s="37">
        <v>240.2</v>
      </c>
      <c r="C59" s="37">
        <v>209.28</v>
      </c>
      <c r="D59" s="37">
        <v>187.85</v>
      </c>
      <c r="E59" s="38">
        <f t="shared" si="2"/>
        <v>-0.10239870030581044</v>
      </c>
      <c r="F59" s="197"/>
      <c r="G59" s="27"/>
      <c r="H59" s="27"/>
      <c r="I59" s="29"/>
      <c r="J59" s="27"/>
      <c r="K59" s="27"/>
    </row>
    <row r="60" spans="1:11" ht="16.5" thickTop="1">
      <c r="A60" s="133" t="s">
        <v>117</v>
      </c>
      <c r="B60" s="132"/>
      <c r="C60" s="133"/>
      <c r="D60" s="133"/>
      <c r="E60" s="133"/>
      <c r="F60" s="198"/>
      <c r="H60" s="29"/>
      <c r="I60" s="29"/>
      <c r="J60" s="29"/>
      <c r="K60" s="29"/>
    </row>
    <row r="61" spans="1:11">
      <c r="A61" s="133"/>
      <c r="B61" s="133"/>
      <c r="C61" s="133"/>
      <c r="D61" s="133"/>
      <c r="E61" s="133"/>
      <c r="F61" s="29"/>
      <c r="G61" s="29" t="s">
        <v>117</v>
      </c>
      <c r="H61" s="29"/>
      <c r="I61" s="29"/>
      <c r="J61" s="29"/>
      <c r="K61" s="29"/>
    </row>
    <row r="62" spans="1:11">
      <c r="A62" s="133"/>
      <c r="B62" s="133"/>
      <c r="C62" s="133"/>
      <c r="D62" s="133"/>
      <c r="E62" s="133"/>
      <c r="F62" s="29"/>
      <c r="G62" s="29"/>
      <c r="H62" s="29"/>
      <c r="I62" s="29"/>
      <c r="J62" s="29"/>
      <c r="K62" s="29"/>
    </row>
    <row r="63" spans="1:11">
      <c r="A63" s="133"/>
      <c r="B63" s="133"/>
      <c r="C63" s="133"/>
      <c r="D63" s="133"/>
      <c r="E63" s="133"/>
      <c r="F63" s="29"/>
      <c r="G63" s="29"/>
      <c r="H63" s="29"/>
      <c r="I63" s="29"/>
      <c r="J63" s="29"/>
      <c r="K63" s="29"/>
    </row>
    <row r="64" spans="1:11">
      <c r="A64" s="133"/>
      <c r="B64" s="133"/>
      <c r="C64" s="133"/>
      <c r="D64" s="133"/>
      <c r="E64" s="133"/>
      <c r="F64" s="29"/>
      <c r="G64" s="29"/>
      <c r="H64" s="29"/>
      <c r="I64" s="29"/>
      <c r="J64" s="29"/>
      <c r="K64" s="29"/>
    </row>
    <row r="65" spans="1:11">
      <c r="A65" s="133"/>
      <c r="B65" s="133"/>
      <c r="C65" s="133"/>
      <c r="D65" s="133"/>
      <c r="E65" s="133"/>
      <c r="F65" s="29"/>
      <c r="G65" s="29"/>
      <c r="H65" s="29"/>
      <c r="I65" s="29"/>
      <c r="J65" s="29"/>
      <c r="K65" s="29"/>
    </row>
    <row r="66" spans="1:11">
      <c r="A66" s="133"/>
      <c r="B66" s="133"/>
      <c r="C66" s="133"/>
      <c r="D66" s="133"/>
      <c r="E66" s="133"/>
      <c r="F66" s="29"/>
      <c r="G66" s="29"/>
      <c r="H66" s="29"/>
      <c r="I66" s="29"/>
      <c r="J66" s="29"/>
      <c r="K66" s="29"/>
    </row>
    <row r="67" spans="1:11">
      <c r="A67" s="133"/>
      <c r="B67" s="133"/>
      <c r="C67" s="133"/>
      <c r="D67" s="133"/>
      <c r="E67" s="133"/>
      <c r="F67" s="29"/>
      <c r="G67" s="29"/>
      <c r="H67" s="29"/>
      <c r="I67" s="29"/>
      <c r="J67" s="29"/>
      <c r="K67" s="29"/>
    </row>
    <row r="68" spans="1:11">
      <c r="A68" s="133"/>
      <c r="B68" s="133"/>
      <c r="C68" s="133"/>
      <c r="D68" s="133"/>
      <c r="E68" s="133"/>
      <c r="F68" s="29"/>
      <c r="G68" s="29"/>
      <c r="H68" s="29"/>
      <c r="I68" s="29"/>
      <c r="J68" s="29"/>
      <c r="K68" s="29"/>
    </row>
    <row r="69" spans="1:11">
      <c r="A69" s="133"/>
      <c r="B69" s="133"/>
      <c r="C69" s="133"/>
      <c r="D69" s="133"/>
      <c r="E69" s="133"/>
      <c r="F69" s="29"/>
      <c r="G69" s="29"/>
      <c r="H69" s="29"/>
      <c r="I69" s="29"/>
      <c r="J69" s="29"/>
      <c r="K69" s="29"/>
    </row>
    <row r="70" spans="1:11">
      <c r="A70" s="133"/>
      <c r="B70" s="133"/>
      <c r="C70" s="133"/>
      <c r="D70" s="133"/>
      <c r="E70" s="133"/>
      <c r="F70" s="29"/>
      <c r="G70" s="29"/>
      <c r="H70" s="29"/>
      <c r="I70" s="29"/>
      <c r="J70" s="29"/>
      <c r="K70" s="29"/>
    </row>
    <row r="71" spans="1:11">
      <c r="A71" s="133"/>
      <c r="B71" s="133"/>
      <c r="C71" s="133"/>
      <c r="D71" s="133"/>
      <c r="E71" s="133"/>
      <c r="F71" s="29"/>
      <c r="G71" s="29"/>
      <c r="H71" s="29"/>
      <c r="I71" s="29"/>
      <c r="J71" s="29"/>
      <c r="K71" s="29"/>
    </row>
    <row r="72" spans="1:11">
      <c r="A72" s="133"/>
      <c r="B72" s="133"/>
      <c r="C72" s="133"/>
      <c r="D72" s="133"/>
      <c r="E72" s="133"/>
      <c r="F72" s="29"/>
      <c r="G72" s="29"/>
      <c r="H72" s="29"/>
      <c r="I72" s="29"/>
      <c r="J72" s="29"/>
      <c r="K72" s="29"/>
    </row>
  </sheetData>
  <sheetProtection selectLockedCells="1" selectUnlockedCells="1"/>
  <mergeCells count="4">
    <mergeCell ref="F46:K46"/>
    <mergeCell ref="A9:F9"/>
    <mergeCell ref="A27:F27"/>
    <mergeCell ref="A45:F45"/>
  </mergeCells>
  <hyperlinks>
    <hyperlink ref="R1" location="'Sommaire&amp;Méthodo'!A1" display="Retour Sommaire"/>
  </hyperlinks>
  <pageMargins left="0.78749999999999998" right="0.78749999999999998" top="1.0249999999999999" bottom="1.0249999999999999" header="0.78749999999999998" footer="0.78749999999999998"/>
  <pageSetup paperSize="9" firstPageNumber="0" orientation="portrait" horizontalDpi="300" verticalDpi="300" r:id="rId1"/>
  <headerFooter alignWithMargins="0">
    <oddHeader>&amp;C&amp;A</oddHeader>
    <oddFooter>&amp;CPage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topLeftCell="A22" workbookViewId="0">
      <selection activeCell="G43" sqref="G43"/>
    </sheetView>
  </sheetViews>
  <sheetFormatPr baseColWidth="10" defaultColWidth="11.54296875" defaultRowHeight="16"/>
  <cols>
    <col min="1" max="5" width="11.54296875" style="146"/>
    <col min="6" max="16384" width="11.54296875" style="39"/>
  </cols>
  <sheetData>
    <row r="1" spans="1:18" s="99" customFormat="1">
      <c r="A1" s="137"/>
      <c r="B1" s="137"/>
      <c r="C1" s="137"/>
      <c r="D1" s="137"/>
      <c r="E1" s="137"/>
      <c r="R1" s="245" t="s">
        <v>138</v>
      </c>
    </row>
    <row r="2" spans="1:18" s="99" customFormat="1">
      <c r="A2" s="137"/>
      <c r="B2" s="137"/>
      <c r="C2" s="137"/>
      <c r="D2" s="137"/>
      <c r="E2" s="137"/>
    </row>
    <row r="3" spans="1:18" s="99" customFormat="1">
      <c r="A3" s="137"/>
      <c r="B3" s="137"/>
      <c r="C3" s="137"/>
      <c r="D3" s="137"/>
      <c r="E3" s="137"/>
    </row>
    <row r="4" spans="1:18" s="99" customFormat="1">
      <c r="A4" s="137"/>
      <c r="B4" s="137"/>
      <c r="C4" s="137"/>
      <c r="D4" s="137"/>
      <c r="E4" s="137"/>
    </row>
    <row r="5" spans="1:18" s="99" customFormat="1">
      <c r="A5" s="137"/>
      <c r="B5" s="137"/>
      <c r="C5" s="137"/>
      <c r="D5" s="137"/>
      <c r="E5" s="137"/>
    </row>
    <row r="6" spans="1:18" s="20" customFormat="1" ht="18.5">
      <c r="A6" s="128"/>
      <c r="B6" s="128"/>
      <c r="C6" s="129"/>
      <c r="D6" s="129"/>
      <c r="E6" s="129"/>
    </row>
    <row r="7" spans="1:18" ht="17.5">
      <c r="A7" s="144" t="s">
        <v>71</v>
      </c>
      <c r="B7" s="145"/>
      <c r="C7" s="145"/>
      <c r="D7" s="145"/>
      <c r="E7" s="145"/>
    </row>
    <row r="8" spans="1:18" ht="16.5" thickBot="1">
      <c r="A8" s="145"/>
      <c r="B8" s="145"/>
      <c r="C8" s="145"/>
      <c r="D8" s="145"/>
      <c r="E8" s="145"/>
    </row>
    <row r="9" spans="1:18" ht="24.5" customHeight="1" thickTop="1" thickBot="1">
      <c r="A9" s="420" t="s">
        <v>70</v>
      </c>
      <c r="B9" s="421" t="s">
        <v>114</v>
      </c>
      <c r="C9" s="422" t="s">
        <v>88</v>
      </c>
      <c r="D9" s="422" t="s">
        <v>115</v>
      </c>
      <c r="E9" s="423" t="s">
        <v>116</v>
      </c>
    </row>
    <row r="10" spans="1:18" ht="14" thickTop="1">
      <c r="A10" s="141" t="s">
        <v>89</v>
      </c>
      <c r="B10" s="33">
        <v>479.3</v>
      </c>
      <c r="C10" s="33">
        <v>471.17</v>
      </c>
      <c r="D10" s="33">
        <v>479</v>
      </c>
      <c r="E10" s="34">
        <f>D10/C10-1</f>
        <v>1.6618205743150094E-2</v>
      </c>
      <c r="F10" s="189"/>
    </row>
    <row r="11" spans="1:18" ht="13.5">
      <c r="A11" s="142" t="s">
        <v>57</v>
      </c>
      <c r="B11" s="35">
        <v>478.5</v>
      </c>
      <c r="C11" s="35">
        <v>453</v>
      </c>
      <c r="D11" s="35">
        <v>461.5</v>
      </c>
      <c r="E11" s="36">
        <f>D11/C11-1</f>
        <v>1.8763796909492259E-2</v>
      </c>
      <c r="F11" s="189"/>
      <c r="G11" s="40"/>
      <c r="H11" s="40"/>
      <c r="I11" s="40"/>
      <c r="J11" s="40"/>
      <c r="K11" s="40"/>
      <c r="L11" s="40"/>
      <c r="M11" s="40"/>
      <c r="N11" s="40"/>
      <c r="O11" s="40"/>
      <c r="P11" s="40"/>
      <c r="Q11" s="40"/>
    </row>
    <row r="12" spans="1:18" ht="13.5">
      <c r="A12" s="142" t="s">
        <v>58</v>
      </c>
      <c r="B12" s="35">
        <v>486.2</v>
      </c>
      <c r="C12" s="35">
        <v>458</v>
      </c>
      <c r="D12" s="35">
        <v>469.81</v>
      </c>
      <c r="E12" s="36">
        <f>D12/C12-1</f>
        <v>2.5786026200873335E-2</v>
      </c>
      <c r="F12" s="189"/>
    </row>
    <row r="13" spans="1:18" ht="13.5">
      <c r="A13" s="142" t="s">
        <v>59</v>
      </c>
      <c r="B13" s="35">
        <v>501.5</v>
      </c>
      <c r="C13" s="35">
        <v>437.38</v>
      </c>
      <c r="D13" s="35">
        <v>498.2</v>
      </c>
      <c r="E13" s="36">
        <f>D13/C13-1</f>
        <v>0.13905528373496723</v>
      </c>
    </row>
    <row r="14" spans="1:18" ht="13.5">
      <c r="A14" s="142" t="s">
        <v>60</v>
      </c>
      <c r="B14" s="35">
        <v>511</v>
      </c>
      <c r="C14" s="35">
        <v>438</v>
      </c>
      <c r="D14" s="35">
        <v>520.38</v>
      </c>
      <c r="E14" s="36">
        <f>D14/C14-1</f>
        <v>0.18808219178082197</v>
      </c>
      <c r="F14" s="159"/>
    </row>
    <row r="15" spans="1:18" ht="13.5">
      <c r="A15" s="142" t="s">
        <v>61</v>
      </c>
      <c r="B15" s="35">
        <v>498.9</v>
      </c>
      <c r="C15" s="35">
        <v>428</v>
      </c>
      <c r="D15" s="35">
        <v>522.33333333333337</v>
      </c>
      <c r="E15" s="36">
        <f t="shared" ref="E15:E21" si="0">D15/C15-1</f>
        <v>0.22040498442367618</v>
      </c>
    </row>
    <row r="16" spans="1:18" ht="13.5">
      <c r="A16" s="142" t="s">
        <v>62</v>
      </c>
      <c r="B16" s="35">
        <v>509.7</v>
      </c>
      <c r="C16" s="35">
        <v>423.125</v>
      </c>
      <c r="D16" s="35">
        <v>525.625</v>
      </c>
      <c r="E16" s="36">
        <f t="shared" si="0"/>
        <v>0.24224519940915812</v>
      </c>
    </row>
    <row r="17" spans="1:17" ht="13.5">
      <c r="A17" s="142" t="s">
        <v>63</v>
      </c>
      <c r="B17" s="35">
        <v>507.3</v>
      </c>
      <c r="C17" s="35">
        <v>413.6</v>
      </c>
      <c r="D17" s="35">
        <v>523.25</v>
      </c>
      <c r="E17" s="36">
        <f t="shared" si="0"/>
        <v>0.26511121856866526</v>
      </c>
    </row>
    <row r="18" spans="1:17" ht="13.5">
      <c r="A18" s="142" t="s">
        <v>64</v>
      </c>
      <c r="B18" s="35">
        <v>582.29999999999995</v>
      </c>
      <c r="C18" s="35">
        <v>433.5</v>
      </c>
      <c r="D18" s="35">
        <v>493.75</v>
      </c>
      <c r="E18" s="36">
        <f t="shared" si="0"/>
        <v>0.13898500576701278</v>
      </c>
    </row>
    <row r="19" spans="1:17" ht="13.5">
      <c r="A19" s="142" t="s">
        <v>65</v>
      </c>
      <c r="B19" s="35">
        <v>548.79999999999995</v>
      </c>
      <c r="C19" s="35">
        <v>446.88</v>
      </c>
      <c r="D19" s="35">
        <v>493.875</v>
      </c>
      <c r="E19" s="36">
        <f t="shared" si="0"/>
        <v>0.10516245972073035</v>
      </c>
    </row>
    <row r="20" spans="1:17" ht="13.5">
      <c r="A20" s="142" t="s">
        <v>66</v>
      </c>
      <c r="B20" s="35">
        <v>524.1</v>
      </c>
      <c r="C20" s="35">
        <v>475.67</v>
      </c>
      <c r="D20" s="35">
        <v>483</v>
      </c>
      <c r="E20" s="36">
        <f t="shared" si="0"/>
        <v>1.5409842958353348E-2</v>
      </c>
      <c r="F20" s="159"/>
    </row>
    <row r="21" spans="1:17" ht="14" thickBot="1">
      <c r="A21" s="143" t="s">
        <v>67</v>
      </c>
      <c r="B21" s="37">
        <v>501.6</v>
      </c>
      <c r="C21" s="37">
        <v>457.17</v>
      </c>
      <c r="D21" s="37">
        <v>475.63</v>
      </c>
      <c r="E21" s="38">
        <f t="shared" si="0"/>
        <v>4.0378852505632334E-2</v>
      </c>
      <c r="F21" s="159"/>
    </row>
    <row r="22" spans="1:17" ht="16.5" thickTop="1">
      <c r="A22" s="145" t="s">
        <v>118</v>
      </c>
      <c r="B22" s="147"/>
      <c r="C22" s="145"/>
      <c r="D22" s="145"/>
      <c r="E22" s="145"/>
      <c r="G22" s="145" t="s">
        <v>118</v>
      </c>
    </row>
    <row r="23" spans="1:17">
      <c r="A23" s="145"/>
      <c r="B23" s="145"/>
      <c r="C23" s="145"/>
      <c r="D23" s="145"/>
      <c r="E23" s="145"/>
    </row>
    <row r="24" spans="1:17" ht="17.5">
      <c r="A24" s="144" t="s">
        <v>72</v>
      </c>
      <c r="B24" s="145"/>
      <c r="C24" s="145"/>
      <c r="D24" s="145"/>
      <c r="E24" s="145"/>
    </row>
    <row r="25" spans="1:17" ht="32.15" customHeight="1" thickBot="1">
      <c r="A25" s="145"/>
      <c r="B25" s="145"/>
      <c r="C25" s="145"/>
      <c r="D25" s="145"/>
      <c r="E25" s="145"/>
    </row>
    <row r="26" spans="1:17" ht="24.5" customHeight="1" thickTop="1" thickBot="1">
      <c r="A26" s="420" t="s">
        <v>70</v>
      </c>
      <c r="B26" s="421" t="s">
        <v>114</v>
      </c>
      <c r="C26" s="422" t="s">
        <v>88</v>
      </c>
      <c r="D26" s="422" t="s">
        <v>115</v>
      </c>
      <c r="E26" s="423" t="s">
        <v>116</v>
      </c>
    </row>
    <row r="27" spans="1:17" ht="14" thickTop="1">
      <c r="A27" s="141" t="s">
        <v>89</v>
      </c>
      <c r="B27" s="33">
        <v>443.3</v>
      </c>
      <c r="C27" s="33">
        <v>466.67</v>
      </c>
      <c r="D27" s="33">
        <v>448.13</v>
      </c>
      <c r="E27" s="34">
        <f>D27/C27-1</f>
        <v>-3.9728287655088179E-2</v>
      </c>
      <c r="F27" s="190"/>
      <c r="G27" s="40"/>
      <c r="H27" s="40"/>
      <c r="I27" s="40"/>
      <c r="J27" s="40"/>
      <c r="K27" s="40"/>
      <c r="L27" s="40"/>
      <c r="M27" s="40"/>
      <c r="N27" s="40"/>
      <c r="O27" s="40"/>
      <c r="P27" s="40"/>
      <c r="Q27" s="40"/>
    </row>
    <row r="28" spans="1:17" ht="13.5">
      <c r="A28" s="142" t="s">
        <v>57</v>
      </c>
      <c r="B28" s="35">
        <v>450.5</v>
      </c>
      <c r="C28" s="35">
        <v>441.67</v>
      </c>
      <c r="D28" s="35">
        <v>464.17</v>
      </c>
      <c r="E28" s="36">
        <f>D28/C28-1</f>
        <v>5.0943011750854694E-2</v>
      </c>
      <c r="F28" s="190"/>
      <c r="G28" s="40"/>
      <c r="H28" s="40"/>
      <c r="I28" s="40"/>
      <c r="J28" s="40"/>
      <c r="K28" s="40"/>
      <c r="L28" s="40"/>
      <c r="M28" s="40"/>
      <c r="N28" s="40"/>
      <c r="O28" s="40"/>
      <c r="P28" s="40"/>
      <c r="Q28" s="40"/>
    </row>
    <row r="29" spans="1:17" ht="13.5">
      <c r="A29" s="142" t="s">
        <v>58</v>
      </c>
      <c r="B29" s="35">
        <v>448.1</v>
      </c>
      <c r="C29" s="35">
        <v>418.13</v>
      </c>
      <c r="D29" s="35">
        <v>467.5</v>
      </c>
      <c r="E29" s="36">
        <f>D29/C29-1</f>
        <v>0.11807332647741142</v>
      </c>
      <c r="F29" s="190"/>
    </row>
    <row r="30" spans="1:17" ht="13.5">
      <c r="A30" s="142" t="s">
        <v>59</v>
      </c>
      <c r="B30" s="35">
        <v>477.4</v>
      </c>
      <c r="C30" s="35">
        <v>406.25</v>
      </c>
      <c r="D30" s="35">
        <v>536.25</v>
      </c>
      <c r="E30" s="36">
        <f>D30/C30-1</f>
        <v>0.32000000000000006</v>
      </c>
    </row>
    <row r="31" spans="1:17" ht="13.5">
      <c r="A31" s="142" t="s">
        <v>60</v>
      </c>
      <c r="B31" s="35">
        <v>489.6</v>
      </c>
      <c r="C31" s="35">
        <v>417.5</v>
      </c>
      <c r="D31" s="35">
        <v>553.75</v>
      </c>
      <c r="E31" s="36">
        <f>D31/C31-1</f>
        <v>0.32634730538922163</v>
      </c>
    </row>
    <row r="32" spans="1:17" ht="13.5">
      <c r="A32" s="142" t="s">
        <v>61</v>
      </c>
      <c r="B32" s="35">
        <v>478.2</v>
      </c>
      <c r="C32" s="35">
        <v>422.5</v>
      </c>
      <c r="D32" s="35">
        <v>538.33333333333337</v>
      </c>
      <c r="E32" s="36">
        <f t="shared" ref="E32:E38" si="1">D32/C32-1</f>
        <v>0.27416173570019731</v>
      </c>
    </row>
    <row r="33" spans="1:7" ht="13.5">
      <c r="A33" s="142" t="s">
        <v>62</v>
      </c>
      <c r="B33" s="35">
        <v>486</v>
      </c>
      <c r="C33" s="35">
        <v>406.25</v>
      </c>
      <c r="D33" s="35">
        <v>533.75</v>
      </c>
      <c r="E33" s="36">
        <f t="shared" si="1"/>
        <v>0.31384615384615389</v>
      </c>
    </row>
    <row r="34" spans="1:7" ht="13.5">
      <c r="A34" s="142" t="s">
        <v>63</v>
      </c>
      <c r="B34" s="35">
        <v>490.4</v>
      </c>
      <c r="C34" s="35">
        <v>398</v>
      </c>
      <c r="D34" s="35">
        <v>538.75</v>
      </c>
      <c r="E34" s="36">
        <f t="shared" si="1"/>
        <v>0.35364321608040195</v>
      </c>
    </row>
    <row r="35" spans="1:7" ht="13.5">
      <c r="A35" s="142" t="s">
        <v>64</v>
      </c>
      <c r="B35" s="35">
        <v>575.79999999999995</v>
      </c>
      <c r="C35" s="35">
        <v>405</v>
      </c>
      <c r="D35" s="35"/>
      <c r="E35" s="36"/>
    </row>
    <row r="36" spans="1:7" ht="13.5">
      <c r="A36" s="142" t="s">
        <v>65</v>
      </c>
      <c r="B36" s="35">
        <v>502.3</v>
      </c>
      <c r="C36" s="35">
        <v>411.88</v>
      </c>
      <c r="D36" s="35">
        <v>457.5</v>
      </c>
      <c r="E36" s="36">
        <f t="shared" si="1"/>
        <v>0.11076041565504524</v>
      </c>
    </row>
    <row r="37" spans="1:7" ht="13.5">
      <c r="A37" s="142" t="s">
        <v>66</v>
      </c>
      <c r="B37" s="35">
        <v>505.2</v>
      </c>
      <c r="C37" s="35">
        <v>439.17</v>
      </c>
      <c r="D37" s="35">
        <v>427.5</v>
      </c>
      <c r="E37" s="36">
        <f t="shared" si="1"/>
        <v>-2.6572853336976565E-2</v>
      </c>
      <c r="F37" s="159"/>
    </row>
    <row r="38" spans="1:7" ht="14" thickBot="1">
      <c r="A38" s="143" t="s">
        <v>67</v>
      </c>
      <c r="B38" s="37">
        <v>472.7</v>
      </c>
      <c r="C38" s="37">
        <v>441.67</v>
      </c>
      <c r="D38" s="37">
        <v>431.25</v>
      </c>
      <c r="E38" s="38">
        <f t="shared" si="1"/>
        <v>-2.3592274775284805E-2</v>
      </c>
      <c r="F38" s="159"/>
    </row>
    <row r="39" spans="1:7" ht="16.5" thickTop="1">
      <c r="A39" s="145" t="s">
        <v>118</v>
      </c>
      <c r="G39" s="145" t="s">
        <v>118</v>
      </c>
    </row>
  </sheetData>
  <hyperlinks>
    <hyperlink ref="R1" location="'Sommaire&amp;Méthodo'!A1" display="Retour Sommaire"/>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5"/>
  <sheetViews>
    <sheetView zoomScale="90" zoomScaleNormal="90" workbookViewId="0">
      <selection activeCell="W29" sqref="W29"/>
    </sheetView>
  </sheetViews>
  <sheetFormatPr baseColWidth="10" defaultColWidth="11.54296875" defaultRowHeight="12" customHeight="1"/>
  <cols>
    <col min="1" max="1" width="20" style="41" customWidth="1"/>
    <col min="2" max="11" width="7.54296875" style="42" customWidth="1"/>
    <col min="12" max="12" width="10.453125" style="42" customWidth="1"/>
    <col min="13" max="13" width="6.54296875" style="45" customWidth="1"/>
    <col min="14" max="14" width="10.54296875" style="45" customWidth="1"/>
    <col min="15" max="15" width="7.54296875" style="45" customWidth="1"/>
    <col min="16" max="16" width="9.26953125" style="45" customWidth="1"/>
    <col min="17" max="17" width="5.54296875" style="42" customWidth="1"/>
    <col min="18" max="18" width="7" style="42" customWidth="1"/>
    <col min="19" max="19" width="6" style="42" customWidth="1"/>
    <col min="20" max="20" width="6.54296875" style="42" customWidth="1"/>
    <col min="21" max="21" width="8" style="44" customWidth="1"/>
    <col min="22" max="22" width="7.54296875" style="42" customWidth="1"/>
    <col min="23" max="24" width="14.453125" style="42" customWidth="1"/>
    <col min="25" max="25" width="20.1796875" style="42" customWidth="1"/>
    <col min="26" max="26" width="16.1796875" style="42" customWidth="1"/>
    <col min="27" max="16384" width="11.54296875" style="42"/>
  </cols>
  <sheetData>
    <row r="1" spans="1:27" ht="12" customHeight="1">
      <c r="X1" s="245" t="s">
        <v>138</v>
      </c>
    </row>
    <row r="2" spans="1:27" ht="15" customHeight="1">
      <c r="B2" s="41"/>
      <c r="C2" s="41"/>
      <c r="D2" s="41"/>
      <c r="E2" s="41"/>
      <c r="F2" s="41"/>
      <c r="G2" s="41"/>
      <c r="H2" s="41"/>
      <c r="I2" s="41"/>
      <c r="J2" s="41"/>
      <c r="K2" s="41"/>
      <c r="L2" s="41"/>
      <c r="M2" s="42"/>
      <c r="N2" s="43"/>
      <c r="O2" s="43"/>
      <c r="P2" s="43"/>
    </row>
    <row r="3" spans="1:27" ht="12" customHeight="1">
      <c r="Q3" s="46"/>
      <c r="R3" s="46"/>
      <c r="S3" s="46"/>
      <c r="T3" s="46"/>
      <c r="U3" s="47"/>
      <c r="V3" s="46"/>
    </row>
    <row r="6" spans="1:27" ht="15" customHeight="1">
      <c r="B6" s="41"/>
      <c r="C6" s="41"/>
      <c r="D6" s="41"/>
      <c r="E6" s="41"/>
      <c r="F6" s="41"/>
      <c r="G6" s="41"/>
      <c r="H6" s="41"/>
      <c r="I6" s="41"/>
      <c r="J6" s="41"/>
      <c r="K6" s="41"/>
      <c r="L6" s="41"/>
      <c r="M6" s="42"/>
      <c r="N6" s="43"/>
      <c r="O6" s="43"/>
      <c r="P6" s="43"/>
    </row>
    <row r="7" spans="1:27" ht="15" customHeight="1">
      <c r="B7" s="41"/>
      <c r="C7" s="41"/>
      <c r="D7" s="41"/>
      <c r="E7" s="41"/>
      <c r="F7" s="41"/>
      <c r="G7" s="41"/>
      <c r="H7" s="41"/>
      <c r="I7" s="41"/>
      <c r="J7" s="41"/>
      <c r="K7" s="41"/>
      <c r="L7" s="41"/>
      <c r="M7" s="42"/>
      <c r="N7" s="43"/>
      <c r="O7" s="43"/>
      <c r="P7" s="43"/>
    </row>
    <row r="8" spans="1:27" ht="15" customHeight="1">
      <c r="B8" s="48" t="s">
        <v>73</v>
      </c>
      <c r="C8" s="41"/>
      <c r="D8" s="41"/>
      <c r="E8" s="41"/>
      <c r="F8" s="41"/>
      <c r="G8" s="41"/>
      <c r="H8" s="41"/>
      <c r="I8" s="41"/>
      <c r="J8" s="41"/>
      <c r="K8" s="41"/>
      <c r="L8" s="41"/>
      <c r="M8" s="42"/>
      <c r="N8" s="43"/>
      <c r="O8" s="43"/>
      <c r="P8" s="43"/>
    </row>
    <row r="9" spans="1:27" ht="15" customHeight="1">
      <c r="B9" s="49"/>
      <c r="C9" s="50"/>
      <c r="D9" s="50"/>
      <c r="E9" s="50"/>
      <c r="F9" s="50"/>
      <c r="G9" s="50"/>
      <c r="H9" s="50"/>
      <c r="I9" s="50"/>
      <c r="J9" s="50"/>
      <c r="K9" s="50"/>
      <c r="L9" s="50"/>
      <c r="M9" s="50"/>
      <c r="N9" s="50"/>
      <c r="O9" s="50"/>
    </row>
    <row r="10" spans="1:27" ht="24.65" customHeight="1">
      <c r="A10" s="46" t="s">
        <v>74</v>
      </c>
      <c r="B10" s="51">
        <v>36526</v>
      </c>
      <c r="C10" s="52">
        <v>36892</v>
      </c>
      <c r="D10" s="51">
        <v>37257</v>
      </c>
      <c r="E10" s="52">
        <v>37622</v>
      </c>
      <c r="F10" s="51">
        <v>37987</v>
      </c>
      <c r="G10" s="52">
        <v>38353</v>
      </c>
      <c r="H10" s="51">
        <v>38718</v>
      </c>
      <c r="I10" s="52">
        <v>39083</v>
      </c>
      <c r="J10" s="51">
        <v>39448</v>
      </c>
      <c r="K10" s="52">
        <v>39814</v>
      </c>
      <c r="L10" s="51">
        <v>40179</v>
      </c>
      <c r="M10" s="52">
        <v>40544</v>
      </c>
      <c r="N10" s="51">
        <v>40909</v>
      </c>
      <c r="O10" s="52">
        <v>41275</v>
      </c>
      <c r="P10" s="51">
        <v>41640</v>
      </c>
      <c r="Q10" s="52">
        <v>42005</v>
      </c>
      <c r="R10" s="51">
        <v>42370</v>
      </c>
      <c r="S10" s="51">
        <v>42737</v>
      </c>
      <c r="T10" s="51">
        <v>43103</v>
      </c>
      <c r="U10" s="51">
        <v>43468</v>
      </c>
      <c r="V10" s="51">
        <v>43832</v>
      </c>
      <c r="W10" s="109">
        <v>2021</v>
      </c>
      <c r="X10" s="199">
        <v>2022</v>
      </c>
      <c r="Y10" s="199">
        <v>2023</v>
      </c>
      <c r="Z10" s="106" t="s">
        <v>91</v>
      </c>
      <c r="AA10" s="104"/>
    </row>
    <row r="11" spans="1:27" s="59" customFormat="1" ht="15" customHeight="1">
      <c r="A11" s="53" t="s">
        <v>75</v>
      </c>
      <c r="B11" s="54">
        <v>235.54</v>
      </c>
      <c r="C11" s="55">
        <v>216.422</v>
      </c>
      <c r="D11" s="54">
        <v>227.13</v>
      </c>
      <c r="E11" s="54">
        <v>184.06</v>
      </c>
      <c r="F11" s="54">
        <v>221.899</v>
      </c>
      <c r="G11" s="54">
        <v>204.197</v>
      </c>
      <c r="H11" s="54">
        <v>213.56</v>
      </c>
      <c r="I11" s="54">
        <v>215.636</v>
      </c>
      <c r="J11" s="54">
        <v>243.68899999999999</v>
      </c>
      <c r="K11" s="54">
        <v>195.345</v>
      </c>
      <c r="L11" s="54">
        <v>239.19900000000001</v>
      </c>
      <c r="M11" s="54">
        <v>243.29599999999999</v>
      </c>
      <c r="N11" s="54">
        <v>258.57299999999998</v>
      </c>
      <c r="O11" s="54">
        <v>285.07799999999997</v>
      </c>
      <c r="P11" s="56">
        <v>296</v>
      </c>
      <c r="Q11" s="56">
        <v>294</v>
      </c>
      <c r="R11" s="56">
        <v>278</v>
      </c>
      <c r="S11" s="57">
        <v>265</v>
      </c>
      <c r="T11" s="57">
        <v>268</v>
      </c>
      <c r="U11" s="57">
        <v>287</v>
      </c>
      <c r="V11" s="57">
        <v>222</v>
      </c>
      <c r="W11" s="102">
        <v>277.5</v>
      </c>
      <c r="X11" s="124">
        <v>244</v>
      </c>
      <c r="Y11" s="125">
        <v>268</v>
      </c>
      <c r="Z11" s="107">
        <f>Y11/X11-1</f>
        <v>9.8360655737705027E-2</v>
      </c>
      <c r="AA11" s="105"/>
    </row>
    <row r="12" spans="1:27" ht="14.15" customHeight="1">
      <c r="A12" s="53" t="s">
        <v>76</v>
      </c>
      <c r="B12" s="60">
        <v>176.941</v>
      </c>
      <c r="C12" s="61">
        <v>172.572</v>
      </c>
      <c r="D12" s="60">
        <v>187.00700000000001</v>
      </c>
      <c r="E12" s="60">
        <v>184.81800000000001</v>
      </c>
      <c r="F12" s="60">
        <v>217.56299999999999</v>
      </c>
      <c r="G12" s="60">
        <v>229.52</v>
      </c>
      <c r="H12" s="60">
        <v>209.15100000000001</v>
      </c>
      <c r="I12" s="60">
        <v>212.74600000000001</v>
      </c>
      <c r="J12" s="60">
        <v>204.92</v>
      </c>
      <c r="K12" s="60">
        <v>179.42500000000001</v>
      </c>
      <c r="L12" s="60">
        <v>203.59700000000001</v>
      </c>
      <c r="M12" s="60">
        <v>172.60400000000001</v>
      </c>
      <c r="N12" s="60">
        <v>181.43700000000001</v>
      </c>
      <c r="O12" s="60">
        <v>144.184</v>
      </c>
      <c r="P12" s="62">
        <v>113.7</v>
      </c>
      <c r="Q12" s="62">
        <v>129</v>
      </c>
      <c r="R12" s="62">
        <v>149</v>
      </c>
      <c r="S12" s="63">
        <v>142</v>
      </c>
      <c r="T12" s="63">
        <v>139</v>
      </c>
      <c r="U12" s="63">
        <v>88</v>
      </c>
      <c r="V12" s="63">
        <v>85</v>
      </c>
      <c r="W12" s="103">
        <v>95.5</v>
      </c>
      <c r="X12" s="126">
        <v>85.4</v>
      </c>
      <c r="Y12" s="127">
        <v>86</v>
      </c>
      <c r="Z12" s="108">
        <f>Y12/X12-1</f>
        <v>7.0257611241217877E-3</v>
      </c>
      <c r="AA12" s="105"/>
    </row>
    <row r="13" spans="1:27" ht="14.15" customHeight="1">
      <c r="A13" s="64"/>
      <c r="B13" s="65"/>
      <c r="C13" s="65"/>
      <c r="D13" s="65"/>
      <c r="E13" s="65"/>
      <c r="F13" s="65"/>
      <c r="G13" s="65"/>
      <c r="H13" s="65"/>
      <c r="I13" s="65"/>
      <c r="J13" s="65"/>
      <c r="K13" s="65"/>
      <c r="L13" s="65"/>
      <c r="M13" s="65"/>
      <c r="N13" s="65"/>
      <c r="O13" s="65"/>
      <c r="Q13" s="45"/>
      <c r="R13" s="45"/>
      <c r="S13" s="45"/>
      <c r="T13" s="45"/>
      <c r="U13" s="45"/>
      <c r="V13" s="45"/>
      <c r="W13" s="94"/>
      <c r="X13" s="66"/>
      <c r="Y13" s="66"/>
      <c r="Z13" s="45"/>
    </row>
    <row r="14" spans="1:27" ht="14.15" customHeight="1">
      <c r="A14" s="41" t="s">
        <v>77</v>
      </c>
      <c r="B14" s="66">
        <f>B12+B11</f>
        <v>412.48099999999999</v>
      </c>
      <c r="C14" s="67">
        <f t="shared" ref="C14:R14" si="0">C12+C11</f>
        <v>388.99400000000003</v>
      </c>
      <c r="D14" s="66">
        <f t="shared" si="0"/>
        <v>414.137</v>
      </c>
      <c r="E14" s="67">
        <f t="shared" si="0"/>
        <v>368.87800000000004</v>
      </c>
      <c r="F14" s="66">
        <f t="shared" si="0"/>
        <v>439.46199999999999</v>
      </c>
      <c r="G14" s="67">
        <f t="shared" si="0"/>
        <v>433.71699999999998</v>
      </c>
      <c r="H14" s="66">
        <f t="shared" si="0"/>
        <v>422.71100000000001</v>
      </c>
      <c r="I14" s="67">
        <f t="shared" si="0"/>
        <v>428.38200000000001</v>
      </c>
      <c r="J14" s="66">
        <f t="shared" si="0"/>
        <v>448.60899999999998</v>
      </c>
      <c r="K14" s="67">
        <f t="shared" si="0"/>
        <v>374.77</v>
      </c>
      <c r="L14" s="66">
        <f t="shared" si="0"/>
        <v>442.79600000000005</v>
      </c>
      <c r="M14" s="67">
        <f t="shared" si="0"/>
        <v>415.9</v>
      </c>
      <c r="N14" s="66">
        <f t="shared" si="0"/>
        <v>440.01</v>
      </c>
      <c r="O14" s="67">
        <f t="shared" si="0"/>
        <v>429.26199999999994</v>
      </c>
      <c r="P14" s="66">
        <f t="shared" si="0"/>
        <v>409.7</v>
      </c>
      <c r="Q14" s="67">
        <f t="shared" si="0"/>
        <v>423</v>
      </c>
      <c r="R14" s="66">
        <f t="shared" si="0"/>
        <v>427</v>
      </c>
      <c r="S14" s="66">
        <f>S12+S11</f>
        <v>407</v>
      </c>
      <c r="T14" s="66">
        <f>T12+T11</f>
        <v>407</v>
      </c>
      <c r="U14" s="66">
        <f>U12+U11</f>
        <v>375</v>
      </c>
      <c r="V14" s="66">
        <v>307</v>
      </c>
      <c r="W14" s="110">
        <f>W11+W12</f>
        <v>373</v>
      </c>
      <c r="X14" s="66">
        <f>X11+X12</f>
        <v>329.4</v>
      </c>
      <c r="Y14" s="66">
        <f>Y11+Y12</f>
        <v>354</v>
      </c>
      <c r="Z14" s="111">
        <f>Y14/X14-1</f>
        <v>7.4681238615665002E-2</v>
      </c>
      <c r="AA14" s="58"/>
    </row>
    <row r="15" spans="1:27" ht="12" customHeight="1">
      <c r="A15" s="64"/>
      <c r="B15" s="41"/>
      <c r="C15" s="41"/>
      <c r="D15" s="41"/>
      <c r="E15" s="41"/>
      <c r="F15" s="41"/>
      <c r="G15" s="43"/>
      <c r="H15" s="41"/>
      <c r="I15" s="41"/>
      <c r="J15" s="41"/>
      <c r="K15" s="41"/>
      <c r="L15" s="41"/>
      <c r="M15" s="42"/>
      <c r="N15" s="43"/>
      <c r="O15" s="43"/>
      <c r="P15" s="43"/>
      <c r="Q15" s="68"/>
      <c r="R15" s="68"/>
      <c r="S15" s="68"/>
      <c r="T15" s="68"/>
    </row>
    <row r="16" spans="1:27" ht="15" customHeight="1">
      <c r="A16" s="41" t="s">
        <v>124</v>
      </c>
    </row>
    <row r="17" spans="15:21" ht="12" customHeight="1">
      <c r="O17" s="41"/>
    </row>
    <row r="18" spans="15:21" ht="12" customHeight="1">
      <c r="U18" s="69"/>
    </row>
    <row r="19" spans="15:21" ht="12" customHeight="1">
      <c r="U19" s="69"/>
    </row>
    <row r="39" spans="2:17" ht="12" customHeight="1">
      <c r="B39" s="41" t="s">
        <v>123</v>
      </c>
      <c r="G39" s="64"/>
    </row>
    <row r="42" spans="2:17" ht="12" customHeight="1">
      <c r="G42" s="41"/>
    </row>
    <row r="43" spans="2:17" ht="12" customHeight="1">
      <c r="G43" s="41"/>
      <c r="N43" s="70"/>
      <c r="Q43" s="70" t="s">
        <v>78</v>
      </c>
    </row>
    <row r="44" spans="2:17" ht="12" customHeight="1">
      <c r="G44" s="41"/>
    </row>
    <row r="46" spans="2:17" ht="12" customHeight="1">
      <c r="G46" s="41"/>
    </row>
    <row r="47" spans="2:17" ht="12" customHeight="1">
      <c r="G47" s="41"/>
    </row>
    <row r="48" spans="2:17" ht="12" customHeight="1">
      <c r="B48" s="70" t="s">
        <v>79</v>
      </c>
    </row>
    <row r="49" spans="1:22" ht="12" customHeight="1">
      <c r="I49" s="46"/>
      <c r="J49" s="46"/>
      <c r="M49" s="42"/>
      <c r="N49" s="42"/>
      <c r="O49" s="42"/>
      <c r="P49" s="42"/>
    </row>
    <row r="50" spans="1:22" ht="12" customHeight="1" thickBot="1">
      <c r="B50" s="71"/>
      <c r="C50" s="50"/>
      <c r="D50" s="50"/>
      <c r="E50" s="50"/>
      <c r="F50" s="50"/>
      <c r="G50" s="50"/>
      <c r="H50" s="50"/>
      <c r="M50" s="42"/>
      <c r="N50" s="42"/>
      <c r="O50" s="42"/>
      <c r="P50" s="42"/>
      <c r="U50" s="42"/>
    </row>
    <row r="51" spans="1:22" ht="32.25" customHeight="1">
      <c r="A51" s="72" t="s">
        <v>74</v>
      </c>
      <c r="B51" s="73">
        <v>2010</v>
      </c>
      <c r="C51" s="74">
        <v>2011</v>
      </c>
      <c r="D51" s="74">
        <v>2012</v>
      </c>
      <c r="E51" s="74">
        <v>2013</v>
      </c>
      <c r="F51" s="74">
        <v>2014</v>
      </c>
      <c r="G51" s="74">
        <v>2015</v>
      </c>
      <c r="H51" s="74">
        <v>2016</v>
      </c>
      <c r="I51" s="74">
        <v>2017</v>
      </c>
      <c r="J51" s="74">
        <v>2018</v>
      </c>
      <c r="K51" s="74">
        <v>2019</v>
      </c>
      <c r="L51" s="74">
        <v>2020</v>
      </c>
      <c r="M51" s="74">
        <v>2021</v>
      </c>
      <c r="N51" s="74">
        <v>2022</v>
      </c>
      <c r="O51" s="112">
        <v>2023</v>
      </c>
      <c r="P51" s="118" t="s">
        <v>92</v>
      </c>
      <c r="U51" s="42"/>
    </row>
    <row r="52" spans="1:22" ht="21" customHeight="1">
      <c r="A52" s="75" t="s">
        <v>80</v>
      </c>
      <c r="B52" s="76">
        <f>203597/1000</f>
        <v>203.59700000000001</v>
      </c>
      <c r="C52" s="77">
        <f>172604/1000</f>
        <v>172.60400000000001</v>
      </c>
      <c r="D52" s="77">
        <f>181437/1000</f>
        <v>181.43700000000001</v>
      </c>
      <c r="E52" s="77">
        <f>144184/1000</f>
        <v>144.184</v>
      </c>
      <c r="F52" s="77">
        <f>113700/1000</f>
        <v>113.7</v>
      </c>
      <c r="G52" s="77">
        <f>114050/1000</f>
        <v>114.05</v>
      </c>
      <c r="H52" s="77">
        <v>141</v>
      </c>
      <c r="I52" s="77">
        <v>142</v>
      </c>
      <c r="J52" s="77">
        <v>139</v>
      </c>
      <c r="K52" s="77">
        <v>88</v>
      </c>
      <c r="L52" s="77">
        <v>85</v>
      </c>
      <c r="M52" s="77">
        <v>95.5</v>
      </c>
      <c r="N52" s="77">
        <v>85</v>
      </c>
      <c r="O52" s="113">
        <v>86</v>
      </c>
      <c r="P52" s="119">
        <f>AVERAGE(J52:N52)</f>
        <v>98.5</v>
      </c>
      <c r="U52" s="42"/>
    </row>
    <row r="53" spans="1:22" ht="14.15" customHeight="1">
      <c r="A53" s="72" t="s">
        <v>81</v>
      </c>
      <c r="B53" s="78"/>
      <c r="C53" s="78"/>
      <c r="D53" s="78"/>
      <c r="E53" s="78"/>
      <c r="F53" s="78"/>
      <c r="G53" s="78"/>
      <c r="H53" s="78"/>
      <c r="I53" s="78"/>
      <c r="J53" s="78"/>
      <c r="K53" s="78"/>
      <c r="L53" s="78"/>
      <c r="M53" s="78"/>
      <c r="N53" s="78"/>
      <c r="O53" s="78"/>
      <c r="P53" s="120"/>
      <c r="U53" s="42"/>
    </row>
    <row r="54" spans="1:22" ht="14.15" customHeight="1">
      <c r="A54" s="79" t="s">
        <v>82</v>
      </c>
      <c r="B54" s="80">
        <f>60500/1000</f>
        <v>60.5</v>
      </c>
      <c r="C54" s="55">
        <f>50631/1000</f>
        <v>50.631</v>
      </c>
      <c r="D54" s="55">
        <f>55545/1000</f>
        <v>55.545000000000002</v>
      </c>
      <c r="E54" s="55">
        <f>44496/1000</f>
        <v>44.496000000000002</v>
      </c>
      <c r="F54" s="55">
        <f>33300/1000</f>
        <v>33.299999999999997</v>
      </c>
      <c r="G54" s="55">
        <v>43</v>
      </c>
      <c r="H54" s="55">
        <v>48</v>
      </c>
      <c r="I54" s="55">
        <v>48</v>
      </c>
      <c r="J54" s="55">
        <v>47</v>
      </c>
      <c r="K54" s="55">
        <v>31</v>
      </c>
      <c r="L54" s="55">
        <v>31</v>
      </c>
      <c r="M54" s="55">
        <v>33</v>
      </c>
      <c r="N54" s="55">
        <v>29</v>
      </c>
      <c r="O54" s="114">
        <v>29</v>
      </c>
      <c r="P54" s="121">
        <f>AVERAGE(J54:N54)</f>
        <v>34.200000000000003</v>
      </c>
      <c r="U54" s="42"/>
    </row>
    <row r="55" spans="1:22" ht="14.15" customHeight="1">
      <c r="A55" s="79" t="s">
        <v>83</v>
      </c>
      <c r="B55" s="80">
        <f>40695/1000</f>
        <v>40.695</v>
      </c>
      <c r="C55" s="55">
        <f>37280/1000</f>
        <v>37.28</v>
      </c>
      <c r="D55" s="55">
        <f>37210/1000</f>
        <v>37.21</v>
      </c>
      <c r="E55" s="55">
        <f>33300/1000</f>
        <v>33.299999999999997</v>
      </c>
      <c r="F55" s="55">
        <f>29700/1000</f>
        <v>29.7</v>
      </c>
      <c r="G55" s="55">
        <v>32</v>
      </c>
      <c r="H55" s="55">
        <v>34</v>
      </c>
      <c r="I55" s="55">
        <v>31</v>
      </c>
      <c r="J55" s="55">
        <v>30</v>
      </c>
      <c r="K55" s="55">
        <v>22</v>
      </c>
      <c r="L55" s="55">
        <v>22</v>
      </c>
      <c r="M55" s="55">
        <v>22</v>
      </c>
      <c r="N55" s="55">
        <v>20</v>
      </c>
      <c r="O55" s="114">
        <v>20</v>
      </c>
      <c r="P55" s="121">
        <f>AVERAGE(J55:N55)</f>
        <v>23.2</v>
      </c>
      <c r="U55" s="42"/>
    </row>
    <row r="56" spans="1:22" ht="14.15" customHeight="1">
      <c r="A56" s="79" t="s">
        <v>84</v>
      </c>
      <c r="B56" s="80">
        <f>35470/1000</f>
        <v>35.47</v>
      </c>
      <c r="C56" s="55">
        <f>27813/1000</f>
        <v>27.812999999999999</v>
      </c>
      <c r="D56" s="55">
        <f>29944/1000</f>
        <v>29.943999999999999</v>
      </c>
      <c r="E56" s="55">
        <f>19977/1000</f>
        <v>19.977</v>
      </c>
      <c r="F56" s="55">
        <f>10900/1000</f>
        <v>10.9</v>
      </c>
      <c r="G56" s="55">
        <v>15</v>
      </c>
      <c r="H56" s="55">
        <v>18</v>
      </c>
      <c r="I56" s="55">
        <v>17</v>
      </c>
      <c r="J56" s="55">
        <v>18</v>
      </c>
      <c r="K56" s="55">
        <v>8</v>
      </c>
      <c r="L56" s="55">
        <v>9</v>
      </c>
      <c r="M56" s="55">
        <v>11</v>
      </c>
      <c r="N56" s="55">
        <v>11</v>
      </c>
      <c r="O56" s="114">
        <v>12</v>
      </c>
      <c r="P56" s="121">
        <f>AVERAGE(J56:N56)</f>
        <v>11.4</v>
      </c>
      <c r="U56" s="42"/>
    </row>
    <row r="57" spans="1:22" ht="14.15" customHeight="1">
      <c r="A57" s="79" t="s">
        <v>48</v>
      </c>
      <c r="B57" s="80">
        <f>21755/1000</f>
        <v>21.754999999999999</v>
      </c>
      <c r="C57" s="55">
        <f>17885/1000</f>
        <v>17.885000000000002</v>
      </c>
      <c r="D57" s="55">
        <f>17445/1000</f>
        <v>17.445</v>
      </c>
      <c r="E57" s="55">
        <f>15100/1000</f>
        <v>15.1</v>
      </c>
      <c r="F57" s="55">
        <f>15300/1000</f>
        <v>15.3</v>
      </c>
      <c r="G57" s="55">
        <f>13000/1000</f>
        <v>13</v>
      </c>
      <c r="H57" s="55">
        <v>16</v>
      </c>
      <c r="I57" s="55">
        <v>13</v>
      </c>
      <c r="J57" s="55">
        <v>12</v>
      </c>
      <c r="K57" s="55">
        <v>8</v>
      </c>
      <c r="L57" s="55">
        <v>7</v>
      </c>
      <c r="M57" s="55">
        <v>9</v>
      </c>
      <c r="N57" s="55">
        <v>9</v>
      </c>
      <c r="O57" s="114">
        <v>9</v>
      </c>
      <c r="P57" s="121">
        <f>AVERAGE(J57:N57)</f>
        <v>9</v>
      </c>
      <c r="U57" s="42"/>
    </row>
    <row r="58" spans="1:22" ht="14.15" customHeight="1">
      <c r="A58" s="75" t="s">
        <v>85</v>
      </c>
      <c r="B58" s="66">
        <f t="shared" ref="B58:K58" si="1">SUM(B54:B57)</f>
        <v>158.41999999999999</v>
      </c>
      <c r="C58" s="67">
        <f t="shared" si="1"/>
        <v>133.60900000000001</v>
      </c>
      <c r="D58" s="67">
        <f t="shared" si="1"/>
        <v>140.14400000000001</v>
      </c>
      <c r="E58" s="67">
        <f t="shared" si="1"/>
        <v>112.87299999999999</v>
      </c>
      <c r="F58" s="67">
        <f t="shared" si="1"/>
        <v>89.2</v>
      </c>
      <c r="G58" s="67">
        <f t="shared" si="1"/>
        <v>103</v>
      </c>
      <c r="H58" s="67">
        <f t="shared" si="1"/>
        <v>116</v>
      </c>
      <c r="I58" s="67">
        <f t="shared" si="1"/>
        <v>109</v>
      </c>
      <c r="J58" s="67">
        <f>SUM(J54:J57)</f>
        <v>107</v>
      </c>
      <c r="K58" s="81">
        <f t="shared" si="1"/>
        <v>69</v>
      </c>
      <c r="L58" s="67">
        <v>69</v>
      </c>
      <c r="M58" s="67">
        <f>M54+M55+M56+M57</f>
        <v>75</v>
      </c>
      <c r="N58" s="67">
        <v>68</v>
      </c>
      <c r="O58" s="81">
        <f>SUM(O54:O57)</f>
        <v>70</v>
      </c>
      <c r="P58" s="122">
        <f>AVERAGE(J58:N58)</f>
        <v>77.599999999999994</v>
      </c>
      <c r="U58" s="42"/>
    </row>
    <row r="59" spans="1:22" ht="14.15" customHeight="1" thickBot="1">
      <c r="A59" s="75" t="s">
        <v>86</v>
      </c>
      <c r="B59" s="82">
        <f>B58/B52</f>
        <v>0.77810576776671547</v>
      </c>
      <c r="C59" s="83">
        <f t="shared" ref="C59:K59" si="2">C58/C52</f>
        <v>0.77407823688906396</v>
      </c>
      <c r="D59" s="83">
        <f t="shared" si="2"/>
        <v>0.77241136041711445</v>
      </c>
      <c r="E59" s="83">
        <f t="shared" si="2"/>
        <v>0.78283998224490925</v>
      </c>
      <c r="F59" s="83">
        <f t="shared" si="2"/>
        <v>0.78452066842568158</v>
      </c>
      <c r="G59" s="83">
        <f t="shared" si="2"/>
        <v>0.90311266988163086</v>
      </c>
      <c r="H59" s="83">
        <f t="shared" si="2"/>
        <v>0.82269503546099287</v>
      </c>
      <c r="I59" s="83">
        <f t="shared" si="2"/>
        <v>0.76760563380281688</v>
      </c>
      <c r="J59" s="83">
        <f>J58/J52</f>
        <v>0.76978417266187049</v>
      </c>
      <c r="K59" s="84">
        <f t="shared" si="2"/>
        <v>0.78409090909090906</v>
      </c>
      <c r="L59" s="83">
        <v>0.81179999999999997</v>
      </c>
      <c r="M59" s="83">
        <f>M58/M52</f>
        <v>0.78534031413612571</v>
      </c>
      <c r="N59" s="83">
        <f>N58/N52</f>
        <v>0.8</v>
      </c>
      <c r="O59" s="84">
        <f>O58/O52</f>
        <v>0.81395348837209303</v>
      </c>
      <c r="P59" s="123">
        <f>P58/P52</f>
        <v>0.78781725888324872</v>
      </c>
      <c r="U59" s="42"/>
    </row>
    <row r="60" spans="1:22" ht="12" customHeight="1">
      <c r="B60" s="41"/>
      <c r="C60" s="41"/>
      <c r="D60" s="41"/>
      <c r="E60" s="41"/>
      <c r="F60" s="41"/>
      <c r="G60" s="43"/>
      <c r="H60" s="43"/>
      <c r="I60" s="68"/>
      <c r="J60" s="68"/>
      <c r="M60" s="42"/>
      <c r="N60" s="42"/>
      <c r="O60" s="42"/>
      <c r="P60" s="42"/>
      <c r="U60" s="42"/>
    </row>
    <row r="61" spans="1:22" ht="15" customHeight="1">
      <c r="M61" s="42"/>
      <c r="N61" s="42"/>
      <c r="O61" s="42"/>
      <c r="P61" s="42"/>
      <c r="U61" s="42"/>
    </row>
    <row r="62" spans="1:22" ht="12" customHeight="1">
      <c r="A62" s="41" t="s">
        <v>125</v>
      </c>
      <c r="M62" s="42"/>
      <c r="N62" s="41"/>
      <c r="O62" s="42"/>
      <c r="P62" s="42"/>
      <c r="U62" s="42"/>
    </row>
    <row r="63" spans="1:22" ht="12" customHeight="1">
      <c r="M63" s="42"/>
      <c r="Q63" s="41" t="s">
        <v>125</v>
      </c>
      <c r="U63" s="42"/>
      <c r="V63" s="44"/>
    </row>
    <row r="64" spans="1:22" ht="12" customHeight="1">
      <c r="A64" s="85"/>
      <c r="B64" s="85"/>
      <c r="C64" s="85"/>
      <c r="D64" s="85"/>
      <c r="E64" s="85"/>
      <c r="F64" s="85"/>
      <c r="G64" s="85"/>
      <c r="H64" s="85"/>
      <c r="I64" s="85"/>
      <c r="J64" s="85"/>
      <c r="K64" s="85"/>
      <c r="L64" s="86"/>
      <c r="M64" s="42"/>
      <c r="Q64" s="45"/>
      <c r="U64" s="42"/>
      <c r="V64" s="44"/>
    </row>
    <row r="65" spans="2:11" ht="12" customHeight="1">
      <c r="B65" s="87"/>
      <c r="C65" s="87"/>
      <c r="D65" s="87"/>
      <c r="E65" s="87"/>
      <c r="F65" s="87"/>
      <c r="G65" s="87"/>
      <c r="H65" s="87"/>
      <c r="I65" s="87"/>
      <c r="J65" s="87"/>
      <c r="K65" s="86"/>
    </row>
  </sheetData>
  <sheetProtection selectLockedCells="1" selectUnlockedCells="1"/>
  <hyperlinks>
    <hyperlink ref="X1" location="'Sommaire&amp;Méthodo'!A1" display="Retour Sommaire"/>
  </hyperlinks>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Sommaire&amp;Méthodo</vt:lpstr>
      <vt:lpstr>Calendrier_Estim_production</vt:lpstr>
      <vt:lpstr>GC_Estim1_07_SURF_RDT_24_25</vt:lpstr>
      <vt:lpstr>GC_Estim1_07_SURF_24_25</vt:lpstr>
      <vt:lpstr>GC_Estim1_07_RDT_24_25</vt:lpstr>
      <vt:lpstr>Cotations_cereales</vt:lpstr>
      <vt:lpstr>Cotations_oleoproteagineux</vt:lpstr>
      <vt:lpstr>Evol.sole-régionale_Blés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Virginie JUVENEL</dc:creator>
  <cp:lastModifiedBy>Utilisateur Windows</cp:lastModifiedBy>
  <cp:revision>1</cp:revision>
  <cp:lastPrinted>2025-01-07T16:24:25Z</cp:lastPrinted>
  <dcterms:created xsi:type="dcterms:W3CDTF">2022-12-06T11:37:04Z</dcterms:created>
  <dcterms:modified xsi:type="dcterms:W3CDTF">2025-07-10T06:46:58Z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11.5606</vt:lpwstr>
  </property>
</Properties>
</file>