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showInkAnnotation="0"/>
  <mc:AlternateContent xmlns:mc="http://schemas.openxmlformats.org/markup-compatibility/2006">
    <mc:Choice Requires="x15">
      <x15ac:absPath xmlns:x15ac="http://schemas.microsoft.com/office/spreadsheetml/2010/11/ac" url="G:\sdfe\sdfcb\g-sdfcb\BGeD\5-RESSOURCES GENETIQUES FORESTIERES\5-17_APPELS-A-PROJETS\2025_AAP-PEPSEM-FOR-AGROFOR_planif\3-AAP\3-PARAPHEUR-VALIDATION\"/>
    </mc:Choice>
  </mc:AlternateContent>
  <xr:revisionPtr revIDLastSave="0" documentId="13_ncr:1_{AD31990E-CCD8-498C-96A2-52E2BBF604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el" sheetId="1" r:id="rId1"/>
    <sheet name="Contrefactuel" sheetId="3" r:id="rId2"/>
    <sheet name="RESERVE ADMIN Calcul aide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3" l="1"/>
  <c r="H22" i="3" l="1"/>
  <c r="I82" i="3" l="1"/>
  <c r="I83" i="3"/>
  <c r="J83" i="3" s="1"/>
  <c r="K83" i="3" s="1"/>
  <c r="L83" i="3" s="1"/>
  <c r="M83" i="3" s="1"/>
  <c r="N83" i="3" s="1"/>
  <c r="O83" i="3" s="1"/>
  <c r="P83" i="3" s="1"/>
  <c r="Q83" i="3" s="1"/>
  <c r="R83" i="3" s="1"/>
  <c r="S83" i="3" s="1"/>
  <c r="T83" i="3" s="1"/>
  <c r="U83" i="3" s="1"/>
  <c r="V83" i="3" s="1"/>
  <c r="W83" i="3" s="1"/>
  <c r="X83" i="3" s="1"/>
  <c r="I88" i="3"/>
  <c r="J88" i="3" s="1"/>
  <c r="K88" i="3" s="1"/>
  <c r="L88" i="3" s="1"/>
  <c r="M88" i="3" s="1"/>
  <c r="N88" i="3" s="1"/>
  <c r="O88" i="3" s="1"/>
  <c r="P88" i="3" s="1"/>
  <c r="Q88" i="3" s="1"/>
  <c r="R88" i="3" s="1"/>
  <c r="S88" i="3" s="1"/>
  <c r="T88" i="3" s="1"/>
  <c r="U88" i="3" s="1"/>
  <c r="V88" i="3" s="1"/>
  <c r="W88" i="3" s="1"/>
  <c r="X88" i="3" s="1"/>
  <c r="I87" i="3"/>
  <c r="J87" i="3" s="1"/>
  <c r="K87" i="3" s="1"/>
  <c r="L87" i="3" s="1"/>
  <c r="M87" i="3" s="1"/>
  <c r="N87" i="3" s="1"/>
  <c r="O87" i="3" s="1"/>
  <c r="P87" i="3" s="1"/>
  <c r="Q87" i="3" s="1"/>
  <c r="R87" i="3" s="1"/>
  <c r="S87" i="3" s="1"/>
  <c r="T87" i="3" s="1"/>
  <c r="U87" i="3" s="1"/>
  <c r="V87" i="3" s="1"/>
  <c r="W87" i="3" s="1"/>
  <c r="X87" i="3" s="1"/>
  <c r="I97" i="1"/>
  <c r="J97" i="1" s="1"/>
  <c r="K97" i="1" s="1"/>
  <c r="L97" i="1" s="1"/>
  <c r="M97" i="1" s="1"/>
  <c r="N97" i="1" s="1"/>
  <c r="O97" i="1" s="1"/>
  <c r="P97" i="1" s="1"/>
  <c r="Q97" i="1" s="1"/>
  <c r="R97" i="1" s="1"/>
  <c r="S97" i="1" s="1"/>
  <c r="T97" i="1" s="1"/>
  <c r="U97" i="1" s="1"/>
  <c r="V97" i="1" s="1"/>
  <c r="W97" i="1" s="1"/>
  <c r="X97" i="1" s="1"/>
  <c r="I92" i="1"/>
  <c r="J92" i="1" s="1"/>
  <c r="K92" i="1" s="1"/>
  <c r="L92" i="1" s="1"/>
  <c r="I91" i="1"/>
  <c r="J91" i="1" s="1"/>
  <c r="K91" i="1" s="1"/>
  <c r="L91" i="1" s="1"/>
  <c r="M91" i="1" s="1"/>
  <c r="N91" i="1" s="1"/>
  <c r="O91" i="1" s="1"/>
  <c r="P91" i="1" s="1"/>
  <c r="Q91" i="1" s="1"/>
  <c r="R91" i="1" s="1"/>
  <c r="S91" i="1" s="1"/>
  <c r="T91" i="1" s="1"/>
  <c r="U91" i="1" s="1"/>
  <c r="V91" i="1" s="1"/>
  <c r="W91" i="1" s="1"/>
  <c r="X91" i="1" s="1"/>
  <c r="I96" i="1"/>
  <c r="J96" i="1" s="1"/>
  <c r="K96" i="1" s="1"/>
  <c r="L96" i="1" s="1"/>
  <c r="M96" i="1" s="1"/>
  <c r="N96" i="1" s="1"/>
  <c r="O96" i="1" s="1"/>
  <c r="P96" i="1" s="1"/>
  <c r="Q96" i="1" s="1"/>
  <c r="R96" i="1" s="1"/>
  <c r="S96" i="1" s="1"/>
  <c r="T96" i="1" s="1"/>
  <c r="U96" i="1" s="1"/>
  <c r="V96" i="1" s="1"/>
  <c r="W96" i="1" s="1"/>
  <c r="X96" i="1" s="1"/>
  <c r="H90" i="1"/>
  <c r="H95" i="1" s="1"/>
  <c r="G90" i="1"/>
  <c r="G95" i="1" s="1"/>
  <c r="I81" i="3" l="1"/>
  <c r="I86" i="3" s="1"/>
  <c r="I91" i="3" s="1"/>
  <c r="J82" i="3"/>
  <c r="M92" i="1"/>
  <c r="N92" i="1" s="1"/>
  <c r="O92" i="1" s="1"/>
  <c r="P92" i="1" s="1"/>
  <c r="Q92" i="1" s="1"/>
  <c r="R92" i="1" s="1"/>
  <c r="S92" i="1" s="1"/>
  <c r="T92" i="1" s="1"/>
  <c r="U92" i="1" s="1"/>
  <c r="V92" i="1" s="1"/>
  <c r="W92" i="1" s="1"/>
  <c r="X92" i="1" s="1"/>
  <c r="J90" i="1"/>
  <c r="J95" i="1" s="1"/>
  <c r="I90" i="1"/>
  <c r="I95" i="1" s="1"/>
  <c r="K90" i="1"/>
  <c r="K95" i="1" s="1"/>
  <c r="K100" i="1" s="1"/>
  <c r="T116" i="1"/>
  <c r="U116" i="1"/>
  <c r="V116" i="1"/>
  <c r="W116" i="1"/>
  <c r="X116" i="1"/>
  <c r="T118" i="1"/>
  <c r="U118" i="1"/>
  <c r="V118" i="1"/>
  <c r="W118" i="1"/>
  <c r="X118" i="1"/>
  <c r="T120" i="1"/>
  <c r="U120" i="1"/>
  <c r="V120" i="1"/>
  <c r="W120" i="1"/>
  <c r="X120" i="1"/>
  <c r="H122" i="1"/>
  <c r="H83" i="1"/>
  <c r="G83" i="1"/>
  <c r="F83" i="1"/>
  <c r="E83" i="1"/>
  <c r="K82" i="3" l="1"/>
  <c r="J81" i="3"/>
  <c r="J86" i="3" s="1"/>
  <c r="J91" i="3" s="1"/>
  <c r="J100" i="1"/>
  <c r="L90" i="1"/>
  <c r="L95" i="1" s="1"/>
  <c r="L100" i="1" s="1"/>
  <c r="E111" i="3"/>
  <c r="F111" i="3"/>
  <c r="G111" i="3"/>
  <c r="H111" i="3"/>
  <c r="I111" i="3"/>
  <c r="J111" i="3"/>
  <c r="K111" i="3"/>
  <c r="E109" i="3"/>
  <c r="F109" i="3"/>
  <c r="G109" i="3"/>
  <c r="H109" i="3"/>
  <c r="I109" i="3"/>
  <c r="J109" i="3"/>
  <c r="K109" i="3"/>
  <c r="E107" i="3"/>
  <c r="F107" i="3"/>
  <c r="G107" i="3"/>
  <c r="H107" i="3"/>
  <c r="I107" i="3"/>
  <c r="L82" i="3" l="1"/>
  <c r="K81" i="3"/>
  <c r="K86" i="3" s="1"/>
  <c r="K91" i="3" s="1"/>
  <c r="M90" i="1"/>
  <c r="M95" i="1" s="1"/>
  <c r="M100" i="1" s="1"/>
  <c r="T24" i="3"/>
  <c r="U24" i="3"/>
  <c r="V24" i="3"/>
  <c r="W24" i="3"/>
  <c r="X24" i="3"/>
  <c r="T28" i="3"/>
  <c r="U28" i="3"/>
  <c r="V28" i="3"/>
  <c r="W28" i="3"/>
  <c r="X28" i="3"/>
  <c r="T45" i="3"/>
  <c r="U45" i="3"/>
  <c r="V45" i="3"/>
  <c r="W45" i="3"/>
  <c r="X45" i="3"/>
  <c r="T64" i="3"/>
  <c r="U64" i="3"/>
  <c r="V64" i="3"/>
  <c r="W64" i="3"/>
  <c r="X64" i="3"/>
  <c r="T70" i="3"/>
  <c r="U70" i="3"/>
  <c r="V70" i="3"/>
  <c r="W70" i="3"/>
  <c r="X70" i="3"/>
  <c r="T80" i="3"/>
  <c r="U80" i="3"/>
  <c r="V80" i="3"/>
  <c r="W80" i="3"/>
  <c r="X80" i="3"/>
  <c r="T100" i="3"/>
  <c r="U100" i="3"/>
  <c r="V100" i="3"/>
  <c r="W100" i="3"/>
  <c r="X100" i="3"/>
  <c r="T106" i="3"/>
  <c r="U106" i="3"/>
  <c r="V106" i="3"/>
  <c r="W106" i="3"/>
  <c r="X106" i="3"/>
  <c r="T107" i="3"/>
  <c r="U107" i="3"/>
  <c r="V107" i="3"/>
  <c r="W107" i="3"/>
  <c r="X107" i="3"/>
  <c r="T109" i="3"/>
  <c r="U109" i="3"/>
  <c r="V109" i="3"/>
  <c r="W109" i="3"/>
  <c r="X109" i="3"/>
  <c r="T111" i="3"/>
  <c r="U111" i="3"/>
  <c r="V111" i="3"/>
  <c r="W111" i="3"/>
  <c r="X111" i="3"/>
  <c r="T117" i="3"/>
  <c r="U117" i="3"/>
  <c r="V117" i="3"/>
  <c r="W117" i="3"/>
  <c r="X117" i="3"/>
  <c r="P117" i="3"/>
  <c r="M82" i="3" l="1"/>
  <c r="L81" i="3"/>
  <c r="L86" i="3" s="1"/>
  <c r="L91" i="3" s="1"/>
  <c r="N90" i="1"/>
  <c r="N95" i="1" s="1"/>
  <c r="N100" i="1" s="1"/>
  <c r="R117" i="3"/>
  <c r="Q117" i="3"/>
  <c r="N82" i="3" l="1"/>
  <c r="M81" i="3"/>
  <c r="M86" i="3" s="1"/>
  <c r="M91" i="3" s="1"/>
  <c r="O90" i="1"/>
  <c r="O95" i="1" s="1"/>
  <c r="O100" i="1" s="1"/>
  <c r="S117" i="3"/>
  <c r="O82" i="3" l="1"/>
  <c r="N81" i="3"/>
  <c r="N86" i="3" s="1"/>
  <c r="N91" i="3" s="1"/>
  <c r="P90" i="1"/>
  <c r="P95" i="1" s="1"/>
  <c r="P100" i="1" s="1"/>
  <c r="P82" i="3" l="1"/>
  <c r="O81" i="3"/>
  <c r="O86" i="3" s="1"/>
  <c r="O91" i="3" s="1"/>
  <c r="Q90" i="1"/>
  <c r="Q95" i="1" s="1"/>
  <c r="Q100" i="1" s="1"/>
  <c r="Z95" i="1"/>
  <c r="E81" i="3"/>
  <c r="Z93" i="1"/>
  <c r="E90" i="1"/>
  <c r="P81" i="3" l="1"/>
  <c r="P86" i="3" s="1"/>
  <c r="P91" i="3" s="1"/>
  <c r="Q82" i="3"/>
  <c r="R90" i="1"/>
  <c r="R95" i="1" s="1"/>
  <c r="R100" i="1" s="1"/>
  <c r="Z96" i="1"/>
  <c r="Z97" i="1" s="1"/>
  <c r="R82" i="3" l="1"/>
  <c r="Q81" i="3"/>
  <c r="Q86" i="3" s="1"/>
  <c r="Q91" i="3" s="1"/>
  <c r="S90" i="1"/>
  <c r="S95" i="1" s="1"/>
  <c r="S100" i="1" s="1"/>
  <c r="E86" i="3"/>
  <c r="E91" i="3" s="1"/>
  <c r="S82" i="3" l="1"/>
  <c r="R81" i="3"/>
  <c r="R86" i="3" s="1"/>
  <c r="R91" i="3" s="1"/>
  <c r="T90" i="1"/>
  <c r="T95" i="1" s="1"/>
  <c r="T100" i="1" s="1"/>
  <c r="E95" i="1"/>
  <c r="E100" i="1" s="1"/>
  <c r="F90" i="1"/>
  <c r="F95" i="1" s="1"/>
  <c r="H100" i="1"/>
  <c r="T82" i="3" l="1"/>
  <c r="S81" i="3"/>
  <c r="S86" i="3" s="1"/>
  <c r="S91" i="3" s="1"/>
  <c r="U90" i="1"/>
  <c r="U95" i="1" s="1"/>
  <c r="U100" i="1" s="1"/>
  <c r="S111" i="3"/>
  <c r="R111" i="3"/>
  <c r="Q111" i="3"/>
  <c r="P111" i="3"/>
  <c r="O111" i="3"/>
  <c r="N111" i="3"/>
  <c r="M111" i="3"/>
  <c r="L111" i="3"/>
  <c r="S109" i="3"/>
  <c r="R109" i="3"/>
  <c r="Q109" i="3"/>
  <c r="P109" i="3"/>
  <c r="O109" i="3"/>
  <c r="N109" i="3"/>
  <c r="M109" i="3"/>
  <c r="L109" i="3"/>
  <c r="S107" i="3"/>
  <c r="R107" i="3"/>
  <c r="Q107" i="3"/>
  <c r="P107" i="3"/>
  <c r="O107" i="3"/>
  <c r="N107" i="3"/>
  <c r="M107" i="3"/>
  <c r="L107" i="3"/>
  <c r="K107" i="3"/>
  <c r="J107" i="3"/>
  <c r="H81" i="3"/>
  <c r="G81" i="3"/>
  <c r="G86" i="3" s="1"/>
  <c r="F81" i="3"/>
  <c r="D81" i="3"/>
  <c r="C65" i="3"/>
  <c r="S64" i="3"/>
  <c r="C64" i="3"/>
  <c r="R63" i="3"/>
  <c r="C63" i="3"/>
  <c r="Q62" i="3"/>
  <c r="C62" i="3"/>
  <c r="P61" i="3"/>
  <c r="C61" i="3"/>
  <c r="O60" i="3"/>
  <c r="C60" i="3"/>
  <c r="N59" i="3"/>
  <c r="C59" i="3"/>
  <c r="M58" i="3"/>
  <c r="C58" i="3"/>
  <c r="L57" i="3"/>
  <c r="C57" i="3"/>
  <c r="K56" i="3"/>
  <c r="C56" i="3"/>
  <c r="J55" i="3"/>
  <c r="C55" i="3"/>
  <c r="I54" i="3"/>
  <c r="C54" i="3"/>
  <c r="C53" i="3"/>
  <c r="H53" i="3" s="1"/>
  <c r="C52" i="3"/>
  <c r="G52" i="3" s="1"/>
  <c r="F51" i="3"/>
  <c r="C51" i="3"/>
  <c r="C50" i="3"/>
  <c r="E50" i="3" s="1"/>
  <c r="D49" i="3"/>
  <c r="C49" i="3"/>
  <c r="C46" i="3"/>
  <c r="S45" i="3"/>
  <c r="C45" i="3"/>
  <c r="R44" i="3"/>
  <c r="C44" i="3"/>
  <c r="Q43" i="3"/>
  <c r="C43" i="3"/>
  <c r="P42" i="3"/>
  <c r="C42" i="3"/>
  <c r="O41" i="3"/>
  <c r="C41" i="3"/>
  <c r="N40" i="3"/>
  <c r="C40" i="3"/>
  <c r="M39" i="3"/>
  <c r="C39" i="3"/>
  <c r="L38" i="3"/>
  <c r="C38" i="3"/>
  <c r="C37" i="3"/>
  <c r="K37" i="3" s="1"/>
  <c r="C36" i="3"/>
  <c r="J36" i="3" s="1"/>
  <c r="C35" i="3"/>
  <c r="I35" i="3" s="1"/>
  <c r="C34" i="3"/>
  <c r="H34" i="3" s="1"/>
  <c r="C33" i="3"/>
  <c r="G33" i="3" s="1"/>
  <c r="C32" i="3"/>
  <c r="F32" i="3" s="1"/>
  <c r="C31" i="3"/>
  <c r="E31" i="3" s="1"/>
  <c r="D30" i="3"/>
  <c r="C30" i="3"/>
  <c r="D24" i="3"/>
  <c r="AA21" i="3"/>
  <c r="AA117" i="3" s="1"/>
  <c r="D21" i="3"/>
  <c r="E21" i="3" s="1"/>
  <c r="S120" i="1"/>
  <c r="R120" i="1"/>
  <c r="Q120" i="1"/>
  <c r="P120" i="1"/>
  <c r="O120" i="1"/>
  <c r="N120" i="1"/>
  <c r="M120" i="1"/>
  <c r="L120" i="1"/>
  <c r="K120" i="1"/>
  <c r="J120" i="1"/>
  <c r="I120" i="1"/>
  <c r="S118" i="1"/>
  <c r="R118" i="1"/>
  <c r="Q118" i="1"/>
  <c r="P118" i="1"/>
  <c r="O118" i="1"/>
  <c r="N118" i="1"/>
  <c r="M118" i="1"/>
  <c r="L118" i="1"/>
  <c r="K118" i="1"/>
  <c r="J118" i="1"/>
  <c r="I118" i="1"/>
  <c r="S116" i="1"/>
  <c r="R116" i="1"/>
  <c r="Q116" i="1"/>
  <c r="P116" i="1"/>
  <c r="O116" i="1"/>
  <c r="N116" i="1"/>
  <c r="M116" i="1"/>
  <c r="L116" i="1"/>
  <c r="K116" i="1"/>
  <c r="J116" i="1"/>
  <c r="I116" i="1"/>
  <c r="D95" i="1"/>
  <c r="D100" i="1" s="1"/>
  <c r="X74" i="1"/>
  <c r="C74" i="1"/>
  <c r="S73" i="1"/>
  <c r="X73" i="1" s="1"/>
  <c r="C73" i="1"/>
  <c r="R72" i="1"/>
  <c r="S72" i="1" s="1"/>
  <c r="C72" i="1"/>
  <c r="Q71" i="1"/>
  <c r="C71" i="1"/>
  <c r="P70" i="1"/>
  <c r="C70" i="1"/>
  <c r="O69" i="1"/>
  <c r="P69" i="1" s="1"/>
  <c r="C69" i="1"/>
  <c r="N68" i="1"/>
  <c r="O68" i="1" s="1"/>
  <c r="C68" i="1"/>
  <c r="M67" i="1"/>
  <c r="C67" i="1"/>
  <c r="L66" i="1"/>
  <c r="C66" i="1"/>
  <c r="K65" i="1"/>
  <c r="L65" i="1" s="1"/>
  <c r="C65" i="1"/>
  <c r="J64" i="1"/>
  <c r="K64" i="1" s="1"/>
  <c r="C64" i="1"/>
  <c r="I63" i="1"/>
  <c r="C63" i="1"/>
  <c r="C62" i="1"/>
  <c r="H62" i="1" s="1"/>
  <c r="I62" i="1" s="1"/>
  <c r="C61" i="1"/>
  <c r="G61" i="1" s="1"/>
  <c r="C60" i="1"/>
  <c r="F60" i="1" s="1"/>
  <c r="C59" i="1"/>
  <c r="E59" i="1" s="1"/>
  <c r="F59" i="1" s="1"/>
  <c r="D58" i="1"/>
  <c r="C58" i="1"/>
  <c r="X55" i="1"/>
  <c r="C55" i="1"/>
  <c r="S54" i="1"/>
  <c r="X54" i="1" s="1"/>
  <c r="C54" i="1"/>
  <c r="R53" i="1"/>
  <c r="C53" i="1"/>
  <c r="Q52" i="1"/>
  <c r="R52" i="1" s="1"/>
  <c r="C52" i="1"/>
  <c r="P51" i="1"/>
  <c r="Q51" i="1" s="1"/>
  <c r="C51" i="1"/>
  <c r="O50" i="1"/>
  <c r="C50" i="1"/>
  <c r="N49" i="1"/>
  <c r="C49" i="1"/>
  <c r="M48" i="1"/>
  <c r="N48" i="1" s="1"/>
  <c r="C48" i="1"/>
  <c r="L47" i="1"/>
  <c r="M47" i="1" s="1"/>
  <c r="C47" i="1"/>
  <c r="K46" i="1"/>
  <c r="C46" i="1"/>
  <c r="J45" i="1"/>
  <c r="C45" i="1"/>
  <c r="I44" i="1"/>
  <c r="C44" i="1"/>
  <c r="C43" i="1"/>
  <c r="H43" i="1" s="1"/>
  <c r="C42" i="1"/>
  <c r="G42" i="1" s="1"/>
  <c r="C41" i="1"/>
  <c r="F41" i="1" s="1"/>
  <c r="C40" i="1"/>
  <c r="E40" i="1" s="1"/>
  <c r="D39" i="1"/>
  <c r="C39" i="1"/>
  <c r="D33" i="1"/>
  <c r="AA30" i="1"/>
  <c r="AA126" i="1" s="1"/>
  <c r="D30" i="1"/>
  <c r="B39" i="1" s="1"/>
  <c r="B58" i="1" s="1"/>
  <c r="I53" i="3" l="1"/>
  <c r="H86" i="3"/>
  <c r="H91" i="3" s="1"/>
  <c r="D29" i="3"/>
  <c r="M38" i="3"/>
  <c r="R62" i="3"/>
  <c r="H52" i="3"/>
  <c r="O59" i="3"/>
  <c r="P59" i="3" s="1"/>
  <c r="Q59" i="3" s="1"/>
  <c r="P41" i="3"/>
  <c r="Q41" i="3" s="1"/>
  <c r="L37" i="3"/>
  <c r="M37" i="3" s="1"/>
  <c r="U82" i="3"/>
  <c r="V82" i="3" s="1"/>
  <c r="W82" i="3" s="1"/>
  <c r="X82" i="3" s="1"/>
  <c r="T81" i="3"/>
  <c r="T86" i="3" s="1"/>
  <c r="T91" i="3" s="1"/>
  <c r="V90" i="1"/>
  <c r="V95" i="1" s="1"/>
  <c r="V100" i="1" s="1"/>
  <c r="P68" i="1"/>
  <c r="Q68" i="1" s="1"/>
  <c r="Q69" i="1"/>
  <c r="R69" i="1" s="1"/>
  <c r="S69" i="1" s="1"/>
  <c r="X69" i="1" s="1"/>
  <c r="F100" i="1"/>
  <c r="D106" i="3"/>
  <c r="S44" i="3"/>
  <c r="N39" i="3"/>
  <c r="O39" i="3" s="1"/>
  <c r="P39" i="3" s="1"/>
  <c r="Q42" i="3"/>
  <c r="R42" i="3" s="1"/>
  <c r="G100" i="1"/>
  <c r="M65" i="1"/>
  <c r="X72" i="1"/>
  <c r="M66" i="1"/>
  <c r="N66" i="1" s="1"/>
  <c r="O66" i="1" s="1"/>
  <c r="R71" i="1"/>
  <c r="S71" i="1" s="1"/>
  <c r="X71" i="1" s="1"/>
  <c r="L64" i="1"/>
  <c r="M64" i="1" s="1"/>
  <c r="N67" i="1"/>
  <c r="O67" i="1" s="1"/>
  <c r="Q70" i="1"/>
  <c r="R70" i="1" s="1"/>
  <c r="K45" i="1"/>
  <c r="N47" i="1"/>
  <c r="O47" i="1" s="1"/>
  <c r="S52" i="1"/>
  <c r="X52" i="1" s="1"/>
  <c r="O48" i="1"/>
  <c r="P48" i="1" s="1"/>
  <c r="O49" i="1"/>
  <c r="P49" i="1" s="1"/>
  <c r="P50" i="1"/>
  <c r="Q50" i="1" s="1"/>
  <c r="R51" i="1"/>
  <c r="S51" i="1" s="1"/>
  <c r="L46" i="1"/>
  <c r="S53" i="1"/>
  <c r="X53" i="1" s="1"/>
  <c r="D38" i="1"/>
  <c r="G59" i="1"/>
  <c r="G60" i="1"/>
  <c r="H61" i="1"/>
  <c r="J62" i="1"/>
  <c r="E39" i="1"/>
  <c r="E38" i="1" s="1"/>
  <c r="J44" i="1"/>
  <c r="K44" i="1" s="1"/>
  <c r="L44" i="1" s="1"/>
  <c r="D57" i="1"/>
  <c r="F40" i="1"/>
  <c r="G40" i="1" s="1"/>
  <c r="I43" i="1"/>
  <c r="J43" i="1" s="1"/>
  <c r="K43" i="1" s="1"/>
  <c r="G41" i="1"/>
  <c r="H41" i="1" s="1"/>
  <c r="H42" i="1"/>
  <c r="I42" i="1" s="1"/>
  <c r="E58" i="1"/>
  <c r="F58" i="1" s="1"/>
  <c r="F57" i="1" s="1"/>
  <c r="J63" i="1"/>
  <c r="K63" i="1" s="1"/>
  <c r="D79" i="1"/>
  <c r="D126" i="1"/>
  <c r="D37" i="1"/>
  <c r="D115" i="1"/>
  <c r="E30" i="1"/>
  <c r="D109" i="1"/>
  <c r="D89" i="1"/>
  <c r="E100" i="3"/>
  <c r="B31" i="3"/>
  <c r="B50" i="3" s="1"/>
  <c r="E117" i="3"/>
  <c r="E80" i="3"/>
  <c r="E28" i="3"/>
  <c r="E106" i="3"/>
  <c r="E24" i="3"/>
  <c r="F21" i="3"/>
  <c r="E70" i="3"/>
  <c r="O40" i="3"/>
  <c r="R43" i="3"/>
  <c r="S43" i="3" s="1"/>
  <c r="D70" i="3"/>
  <c r="G91" i="3"/>
  <c r="D28" i="3"/>
  <c r="F31" i="3"/>
  <c r="G31" i="3" s="1"/>
  <c r="K36" i="3"/>
  <c r="D80" i="3"/>
  <c r="D117" i="3"/>
  <c r="B30" i="3"/>
  <c r="B49" i="3" s="1"/>
  <c r="G32" i="3"/>
  <c r="J35" i="3"/>
  <c r="N38" i="3"/>
  <c r="M57" i="3"/>
  <c r="N57" i="3" s="1"/>
  <c r="O57" i="3" s="1"/>
  <c r="D86" i="3"/>
  <c r="D91" i="3" s="1"/>
  <c r="H33" i="3"/>
  <c r="I33" i="3" s="1"/>
  <c r="I34" i="3"/>
  <c r="J34" i="3" s="1"/>
  <c r="F86" i="3"/>
  <c r="F91" i="3" s="1"/>
  <c r="D100" i="3"/>
  <c r="E30" i="3"/>
  <c r="S62" i="3"/>
  <c r="T62" i="3" s="1"/>
  <c r="P60" i="3"/>
  <c r="Q61" i="3"/>
  <c r="R61" i="3" s="1"/>
  <c r="S61" i="3" s="1"/>
  <c r="I52" i="3"/>
  <c r="J53" i="3"/>
  <c r="K53" i="3" s="1"/>
  <c r="N58" i="3"/>
  <c r="O58" i="3" s="1"/>
  <c r="S63" i="3"/>
  <c r="T63" i="3" s="1"/>
  <c r="U63" i="3" s="1"/>
  <c r="E49" i="3"/>
  <c r="L56" i="3"/>
  <c r="F50" i="3"/>
  <c r="G50" i="3" s="1"/>
  <c r="K55" i="3"/>
  <c r="D48" i="3"/>
  <c r="G51" i="3"/>
  <c r="J54" i="3"/>
  <c r="V63" i="3" l="1"/>
  <c r="W63" i="3" s="1"/>
  <c r="X63" i="3" s="1"/>
  <c r="T44" i="3"/>
  <c r="U62" i="3"/>
  <c r="T61" i="3"/>
  <c r="T43" i="3"/>
  <c r="U43" i="3" s="1"/>
  <c r="U61" i="3"/>
  <c r="U81" i="3"/>
  <c r="U86" i="3" s="1"/>
  <c r="U91" i="3" s="1"/>
  <c r="W90" i="1"/>
  <c r="W95" i="1" s="1"/>
  <c r="W100" i="1" s="1"/>
  <c r="X90" i="1"/>
  <c r="X95" i="1" s="1"/>
  <c r="X100" i="1" s="1"/>
  <c r="S42" i="3"/>
  <c r="X51" i="1"/>
  <c r="P47" i="1"/>
  <c r="Q47" i="1" s="1"/>
  <c r="R47" i="1" s="1"/>
  <c r="K35" i="3"/>
  <c r="L36" i="3"/>
  <c r="P66" i="1"/>
  <c r="Q66" i="1" s="1"/>
  <c r="N64" i="1"/>
  <c r="O64" i="1" s="1"/>
  <c r="N65" i="1"/>
  <c r="P67" i="1"/>
  <c r="Q67" i="1" s="1"/>
  <c r="R67" i="1" s="1"/>
  <c r="R68" i="1"/>
  <c r="S68" i="1" s="1"/>
  <c r="X68" i="1" s="1"/>
  <c r="S70" i="1"/>
  <c r="X70" i="1" s="1"/>
  <c r="M46" i="1"/>
  <c r="R50" i="1"/>
  <c r="S50" i="1" s="1"/>
  <c r="L45" i="1"/>
  <c r="M45" i="1" s="1"/>
  <c r="Q49" i="1"/>
  <c r="R49" i="1" s="1"/>
  <c r="Q48" i="1"/>
  <c r="F39" i="1"/>
  <c r="F38" i="1" s="1"/>
  <c r="J42" i="1"/>
  <c r="H59" i="1"/>
  <c r="K62" i="1"/>
  <c r="I61" i="1"/>
  <c r="J61" i="1" s="1"/>
  <c r="M44" i="1"/>
  <c r="I41" i="1"/>
  <c r="H40" i="1"/>
  <c r="L63" i="1"/>
  <c r="G58" i="1"/>
  <c r="G57" i="1" s="1"/>
  <c r="E57" i="1"/>
  <c r="H60" i="1"/>
  <c r="L43" i="1"/>
  <c r="E126" i="1"/>
  <c r="E37" i="1"/>
  <c r="E115" i="1"/>
  <c r="E33" i="1"/>
  <c r="B40" i="1"/>
  <c r="B59" i="1" s="1"/>
  <c r="E109" i="1"/>
  <c r="E89" i="1"/>
  <c r="F30" i="1"/>
  <c r="F33" i="1" s="1"/>
  <c r="E79" i="1"/>
  <c r="D111" i="1"/>
  <c r="D85" i="1" s="1"/>
  <c r="D102" i="1" s="1"/>
  <c r="D110" i="1"/>
  <c r="P40" i="3"/>
  <c r="Q40" i="3" s="1"/>
  <c r="F30" i="3"/>
  <c r="F29" i="3" s="1"/>
  <c r="D101" i="3"/>
  <c r="E102" i="3" s="1"/>
  <c r="E76" i="3" s="1"/>
  <c r="D102" i="3"/>
  <c r="D76" i="3" s="1"/>
  <c r="D93" i="3" s="1"/>
  <c r="Q39" i="3"/>
  <c r="R39" i="3" s="1"/>
  <c r="R41" i="3"/>
  <c r="S41" i="3" s="1"/>
  <c r="E29" i="3"/>
  <c r="O38" i="3"/>
  <c r="P38" i="3" s="1"/>
  <c r="N37" i="3"/>
  <c r="F117" i="3"/>
  <c r="F80" i="3"/>
  <c r="F28" i="3"/>
  <c r="B32" i="3"/>
  <c r="B51" i="3" s="1"/>
  <c r="F106" i="3"/>
  <c r="F24" i="3"/>
  <c r="G21" i="3"/>
  <c r="F70" i="3"/>
  <c r="F100" i="3"/>
  <c r="H31" i="3"/>
  <c r="K34" i="3"/>
  <c r="J33" i="3"/>
  <c r="H32" i="3"/>
  <c r="Q60" i="3"/>
  <c r="M56" i="3"/>
  <c r="L53" i="3"/>
  <c r="M53" i="3" s="1"/>
  <c r="R59" i="3"/>
  <c r="H50" i="3"/>
  <c r="I50" i="3" s="1"/>
  <c r="J50" i="3" s="1"/>
  <c r="L55" i="3"/>
  <c r="E48" i="3"/>
  <c r="F49" i="3"/>
  <c r="K54" i="3"/>
  <c r="P58" i="3"/>
  <c r="P57" i="3"/>
  <c r="J52" i="3"/>
  <c r="H51" i="3"/>
  <c r="I51" i="3" s="1"/>
  <c r="V62" i="3" l="1"/>
  <c r="W62" i="3" s="1"/>
  <c r="X62" i="3" s="1"/>
  <c r="V43" i="3"/>
  <c r="W43" i="3"/>
  <c r="R60" i="3"/>
  <c r="S60" i="3" s="1"/>
  <c r="U44" i="3"/>
  <c r="V61" i="3"/>
  <c r="W61" i="3" s="1"/>
  <c r="T42" i="3"/>
  <c r="T41" i="3"/>
  <c r="N56" i="3"/>
  <c r="O56" i="3" s="1"/>
  <c r="P56" i="3" s="1"/>
  <c r="L35" i="3"/>
  <c r="M35" i="3" s="1"/>
  <c r="V81" i="3"/>
  <c r="V86" i="3" s="1"/>
  <c r="V91" i="3" s="1"/>
  <c r="E101" i="3"/>
  <c r="G39" i="1"/>
  <c r="H39" i="1" s="1"/>
  <c r="H38" i="1" s="1"/>
  <c r="S49" i="1"/>
  <c r="X49" i="1" s="1"/>
  <c r="R48" i="1"/>
  <c r="S48" i="1" s="1"/>
  <c r="M36" i="3"/>
  <c r="N36" i="3" s="1"/>
  <c r="S67" i="1"/>
  <c r="X67" i="1" s="1"/>
  <c r="P64" i="1"/>
  <c r="R66" i="1"/>
  <c r="O65" i="1"/>
  <c r="P65" i="1" s="1"/>
  <c r="X50" i="1"/>
  <c r="N45" i="1"/>
  <c r="O45" i="1" s="1"/>
  <c r="N46" i="1"/>
  <c r="S47" i="1"/>
  <c r="X47" i="1" s="1"/>
  <c r="M63" i="1"/>
  <c r="N63" i="1" s="1"/>
  <c r="O63" i="1" s="1"/>
  <c r="K42" i="1"/>
  <c r="L42" i="1" s="1"/>
  <c r="N44" i="1"/>
  <c r="O44" i="1" s="1"/>
  <c r="J41" i="1"/>
  <c r="K41" i="1" s="1"/>
  <c r="I60" i="1"/>
  <c r="H58" i="1"/>
  <c r="M43" i="1"/>
  <c r="K61" i="1"/>
  <c r="L62" i="1"/>
  <c r="M62" i="1" s="1"/>
  <c r="I40" i="1"/>
  <c r="I59" i="1"/>
  <c r="F89" i="1"/>
  <c r="F115" i="1"/>
  <c r="B41" i="1"/>
  <c r="B60" i="1" s="1"/>
  <c r="G30" i="1"/>
  <c r="F109" i="1"/>
  <c r="F79" i="1"/>
  <c r="F126" i="1"/>
  <c r="F37" i="1"/>
  <c r="E111" i="1"/>
  <c r="E85" i="1" s="1"/>
  <c r="E102" i="1" s="1"/>
  <c r="E110" i="1"/>
  <c r="D103" i="1"/>
  <c r="D127" i="1" s="1"/>
  <c r="I31" i="3"/>
  <c r="O37" i="3"/>
  <c r="P37" i="3" s="1"/>
  <c r="R40" i="3"/>
  <c r="I32" i="3"/>
  <c r="L34" i="3"/>
  <c r="K33" i="3"/>
  <c r="G117" i="3"/>
  <c r="G80" i="3"/>
  <c r="G28" i="3"/>
  <c r="G106" i="3"/>
  <c r="G24" i="3"/>
  <c r="G70" i="3"/>
  <c r="B33" i="3"/>
  <c r="B52" i="3" s="1"/>
  <c r="H21" i="3"/>
  <c r="G100" i="3"/>
  <c r="E93" i="3"/>
  <c r="E94" i="3" s="1"/>
  <c r="Q38" i="3"/>
  <c r="R38" i="3" s="1"/>
  <c r="S38" i="3" s="1"/>
  <c r="G30" i="3"/>
  <c r="S39" i="3"/>
  <c r="Q57" i="3"/>
  <c r="K50" i="3"/>
  <c r="L50" i="3" s="1"/>
  <c r="D94" i="3"/>
  <c r="Q58" i="3"/>
  <c r="K52" i="3"/>
  <c r="S59" i="3"/>
  <c r="F48" i="3"/>
  <c r="G49" i="3"/>
  <c r="H49" i="3" s="1"/>
  <c r="H48" i="3" s="1"/>
  <c r="J51" i="3"/>
  <c r="L54" i="3"/>
  <c r="N53" i="3"/>
  <c r="M55" i="3"/>
  <c r="T38" i="3" l="1"/>
  <c r="U38" i="3" s="1"/>
  <c r="X61" i="3"/>
  <c r="T60" i="3"/>
  <c r="U60" i="3" s="1"/>
  <c r="X43" i="3"/>
  <c r="W44" i="3"/>
  <c r="X44" i="3" s="1"/>
  <c r="L52" i="3"/>
  <c r="R58" i="3"/>
  <c r="V38" i="3"/>
  <c r="W38" i="3" s="1"/>
  <c r="T39" i="3"/>
  <c r="U39" i="3"/>
  <c r="U42" i="3"/>
  <c r="V42" i="3" s="1"/>
  <c r="U41" i="3"/>
  <c r="V44" i="3"/>
  <c r="O53" i="3"/>
  <c r="P53" i="3" s="1"/>
  <c r="T59" i="3"/>
  <c r="U59" i="3" s="1"/>
  <c r="N35" i="3"/>
  <c r="O35" i="3" s="1"/>
  <c r="P35" i="3" s="1"/>
  <c r="M34" i="3"/>
  <c r="N34" i="3" s="1"/>
  <c r="X81" i="3"/>
  <c r="X86" i="3" s="1"/>
  <c r="X91" i="3" s="1"/>
  <c r="W81" i="3"/>
  <c r="W86" i="3" s="1"/>
  <c r="W91" i="3" s="1"/>
  <c r="F102" i="3"/>
  <c r="F76" i="3" s="1"/>
  <c r="F93" i="3" s="1"/>
  <c r="G38" i="1"/>
  <c r="S66" i="1"/>
  <c r="X66" i="1" s="1"/>
  <c r="Q37" i="3"/>
  <c r="F101" i="3"/>
  <c r="G102" i="3" s="1"/>
  <c r="G76" i="3" s="1"/>
  <c r="P45" i="1"/>
  <c r="Q45" i="1" s="1"/>
  <c r="I39" i="1"/>
  <c r="J39" i="1" s="1"/>
  <c r="X48" i="1"/>
  <c r="O36" i="3"/>
  <c r="Q65" i="1"/>
  <c r="R65" i="1" s="1"/>
  <c r="Q64" i="1"/>
  <c r="R64" i="1" s="1"/>
  <c r="O46" i="1"/>
  <c r="M42" i="1"/>
  <c r="N42" i="1" s="1"/>
  <c r="J40" i="1"/>
  <c r="N62" i="1"/>
  <c r="L41" i="1"/>
  <c r="N43" i="1"/>
  <c r="O43" i="1" s="1"/>
  <c r="P63" i="1"/>
  <c r="L61" i="1"/>
  <c r="J59" i="1"/>
  <c r="K59" i="1" s="1"/>
  <c r="J60" i="1"/>
  <c r="K60" i="1" s="1"/>
  <c r="H57" i="1"/>
  <c r="I58" i="1"/>
  <c r="P44" i="1"/>
  <c r="Q44" i="1" s="1"/>
  <c r="R44" i="1" s="1"/>
  <c r="S44" i="1" s="1"/>
  <c r="X44" i="1" s="1"/>
  <c r="F111" i="1"/>
  <c r="F85" i="1" s="1"/>
  <c r="F102" i="1" s="1"/>
  <c r="F110" i="1"/>
  <c r="G115" i="1"/>
  <c r="G33" i="1"/>
  <c r="B42" i="1"/>
  <c r="B61" i="1" s="1"/>
  <c r="G109" i="1"/>
  <c r="G89" i="1"/>
  <c r="H30" i="1"/>
  <c r="G37" i="1"/>
  <c r="G79" i="1"/>
  <c r="G126" i="1"/>
  <c r="D104" i="1"/>
  <c r="D105" i="1" s="1"/>
  <c r="E103" i="1"/>
  <c r="D128" i="1"/>
  <c r="H117" i="3"/>
  <c r="H80" i="3"/>
  <c r="H28" i="3"/>
  <c r="H106" i="3"/>
  <c r="H24" i="3"/>
  <c r="H70" i="3"/>
  <c r="H100" i="3"/>
  <c r="B34" i="3"/>
  <c r="B53" i="3" s="1"/>
  <c r="L33" i="3"/>
  <c r="J32" i="3"/>
  <c r="Q56" i="3"/>
  <c r="S40" i="3"/>
  <c r="G29" i="3"/>
  <c r="H30" i="3"/>
  <c r="H29" i="3" s="1"/>
  <c r="J31" i="3"/>
  <c r="M50" i="3"/>
  <c r="R57" i="3"/>
  <c r="K51" i="3"/>
  <c r="M52" i="3"/>
  <c r="N52" i="3" s="1"/>
  <c r="O52" i="3" s="1"/>
  <c r="M54" i="3"/>
  <c r="E95" i="3"/>
  <c r="N55" i="3"/>
  <c r="G48" i="3"/>
  <c r="I49" i="3"/>
  <c r="D95" i="3"/>
  <c r="Q35" i="3" l="1"/>
  <c r="V39" i="3"/>
  <c r="V60" i="3"/>
  <c r="W42" i="3"/>
  <c r="X42" i="3" s="1"/>
  <c r="Q53" i="3"/>
  <c r="R53" i="3" s="1"/>
  <c r="S53" i="3" s="1"/>
  <c r="W39" i="3"/>
  <c r="T40" i="3"/>
  <c r="U40" i="3" s="1"/>
  <c r="V40" i="3" s="1"/>
  <c r="S58" i="3"/>
  <c r="T58" i="3" s="1"/>
  <c r="V41" i="3"/>
  <c r="W41" i="3" s="1"/>
  <c r="X41" i="3" s="1"/>
  <c r="X39" i="3"/>
  <c r="X38" i="3"/>
  <c r="D96" i="3"/>
  <c r="D118" i="3"/>
  <c r="N50" i="3"/>
  <c r="R56" i="3"/>
  <c r="O55" i="3"/>
  <c r="P55" i="3" s="1"/>
  <c r="Q55" i="3" s="1"/>
  <c r="R55" i="3" s="1"/>
  <c r="S55" i="3" s="1"/>
  <c r="T55" i="3" s="1"/>
  <c r="E96" i="3"/>
  <c r="E118" i="3"/>
  <c r="V59" i="3"/>
  <c r="W59" i="3" s="1"/>
  <c r="X59" i="3" s="1"/>
  <c r="P36" i="3"/>
  <c r="Q36" i="3" s="1"/>
  <c r="R36" i="3" s="1"/>
  <c r="S36" i="3" s="1"/>
  <c r="T36" i="3" s="1"/>
  <c r="R35" i="3"/>
  <c r="S35" i="3" s="1"/>
  <c r="T35" i="3" s="1"/>
  <c r="R37" i="3"/>
  <c r="S37" i="3" s="1"/>
  <c r="T37" i="3" s="1"/>
  <c r="K32" i="3"/>
  <c r="K31" i="3"/>
  <c r="L31" i="3" s="1"/>
  <c r="E127" i="1"/>
  <c r="R45" i="1"/>
  <c r="S45" i="1" s="1"/>
  <c r="X45" i="1" s="1"/>
  <c r="G101" i="3"/>
  <c r="S56" i="3"/>
  <c r="T56" i="3" s="1"/>
  <c r="U56" i="3" s="1"/>
  <c r="S64" i="1"/>
  <c r="X64" i="1" s="1"/>
  <c r="I38" i="1"/>
  <c r="K39" i="1"/>
  <c r="L39" i="1" s="1"/>
  <c r="G93" i="3"/>
  <c r="G94" i="3" s="1"/>
  <c r="S65" i="1"/>
  <c r="X65" i="1" s="1"/>
  <c r="O62" i="1"/>
  <c r="P62" i="1" s="1"/>
  <c r="Q62" i="1" s="1"/>
  <c r="R62" i="1" s="1"/>
  <c r="Q63" i="1"/>
  <c r="O42" i="1"/>
  <c r="P46" i="1"/>
  <c r="Q46" i="1" s="1"/>
  <c r="L59" i="1"/>
  <c r="P43" i="1"/>
  <c r="J38" i="1"/>
  <c r="M41" i="1"/>
  <c r="L60" i="1"/>
  <c r="I57" i="1"/>
  <c r="J58" i="1"/>
  <c r="M61" i="1"/>
  <c r="N61" i="1" s="1"/>
  <c r="O61" i="1" s="1"/>
  <c r="P61" i="1" s="1"/>
  <c r="Q61" i="1" s="1"/>
  <c r="K40" i="1"/>
  <c r="L40" i="1" s="1"/>
  <c r="E104" i="1"/>
  <c r="E105" i="1" s="1"/>
  <c r="G111" i="1"/>
  <c r="G85" i="1" s="1"/>
  <c r="G102" i="1" s="1"/>
  <c r="G110" i="1"/>
  <c r="H79" i="1"/>
  <c r="B43" i="1"/>
  <c r="B62" i="1" s="1"/>
  <c r="I30" i="1"/>
  <c r="H109" i="1"/>
  <c r="H89" i="1"/>
  <c r="H126" i="1"/>
  <c r="H37" i="1"/>
  <c r="H33" i="1"/>
  <c r="H115" i="1"/>
  <c r="F103" i="1"/>
  <c r="F127" i="1" s="1"/>
  <c r="D131" i="1"/>
  <c r="D132" i="1" s="1"/>
  <c r="D129" i="1"/>
  <c r="M33" i="3"/>
  <c r="O34" i="3"/>
  <c r="O50" i="3"/>
  <c r="P50" i="3" s="1"/>
  <c r="Q50" i="3" s="1"/>
  <c r="R50" i="3" s="1"/>
  <c r="I28" i="3"/>
  <c r="B35" i="3"/>
  <c r="B54" i="3" s="1"/>
  <c r="I106" i="3"/>
  <c r="I24" i="3"/>
  <c r="I70" i="3"/>
  <c r="I100" i="3"/>
  <c r="I117" i="3"/>
  <c r="I30" i="3"/>
  <c r="P52" i="3"/>
  <c r="Q52" i="3" s="1"/>
  <c r="I48" i="3"/>
  <c r="J49" i="3"/>
  <c r="N54" i="3"/>
  <c r="O54" i="3" s="1"/>
  <c r="L51" i="3"/>
  <c r="F94" i="3"/>
  <c r="S57" i="3"/>
  <c r="T57" i="3" s="1"/>
  <c r="V56" i="3" l="1"/>
  <c r="W56" i="3" s="1"/>
  <c r="W60" i="3"/>
  <c r="X60" i="3"/>
  <c r="T53" i="3"/>
  <c r="U53" i="3" s="1"/>
  <c r="U58" i="3"/>
  <c r="E128" i="1"/>
  <c r="E131" i="1" s="1"/>
  <c r="E119" i="3"/>
  <c r="E120" i="3"/>
  <c r="D119" i="3"/>
  <c r="U57" i="3"/>
  <c r="U55" i="3"/>
  <c r="V55" i="3" s="1"/>
  <c r="W55" i="3" s="1"/>
  <c r="X55" i="3" s="1"/>
  <c r="W40" i="3"/>
  <c r="X40" i="3" s="1"/>
  <c r="M31" i="3"/>
  <c r="N31" i="3" s="1"/>
  <c r="O31" i="3" s="1"/>
  <c r="P31" i="3" s="1"/>
  <c r="Q31" i="3" s="1"/>
  <c r="U37" i="3"/>
  <c r="V37" i="3" s="1"/>
  <c r="W37" i="3" s="1"/>
  <c r="X37" i="3" s="1"/>
  <c r="U35" i="3"/>
  <c r="V35" i="3" s="1"/>
  <c r="W35" i="3" s="1"/>
  <c r="U36" i="3"/>
  <c r="L32" i="3"/>
  <c r="M32" i="3" s="1"/>
  <c r="P34" i="3"/>
  <c r="Q34" i="3" s="1"/>
  <c r="R34" i="3" s="1"/>
  <c r="S34" i="3" s="1"/>
  <c r="T34" i="3" s="1"/>
  <c r="U34" i="3" s="1"/>
  <c r="V34" i="3" s="1"/>
  <c r="W34" i="3" s="1"/>
  <c r="X34" i="3" s="1"/>
  <c r="H102" i="3"/>
  <c r="H76" i="3" s="1"/>
  <c r="H93" i="3" s="1"/>
  <c r="H94" i="3" s="1"/>
  <c r="H101" i="3"/>
  <c r="I102" i="3" s="1"/>
  <c r="I76" i="3" s="1"/>
  <c r="L38" i="1"/>
  <c r="M39" i="1"/>
  <c r="N39" i="1" s="1"/>
  <c r="O39" i="1" s="1"/>
  <c r="R52" i="3"/>
  <c r="S52" i="3" s="1"/>
  <c r="T52" i="3" s="1"/>
  <c r="U52" i="3" s="1"/>
  <c r="V52" i="3" s="1"/>
  <c r="S62" i="1"/>
  <c r="X62" i="1" s="1"/>
  <c r="R63" i="1"/>
  <c r="S63" i="1" s="1"/>
  <c r="R46" i="1"/>
  <c r="S46" i="1" s="1"/>
  <c r="X46" i="1" s="1"/>
  <c r="P42" i="1"/>
  <c r="Q42" i="1" s="1"/>
  <c r="R61" i="1"/>
  <c r="S61" i="1" s="1"/>
  <c r="X61" i="1" s="1"/>
  <c r="N41" i="1"/>
  <c r="J57" i="1"/>
  <c r="M60" i="1"/>
  <c r="N60" i="1" s="1"/>
  <c r="M59" i="1"/>
  <c r="K58" i="1"/>
  <c r="K38" i="1"/>
  <c r="M40" i="1"/>
  <c r="N40" i="1" s="1"/>
  <c r="Q43" i="1"/>
  <c r="R43" i="1" s="1"/>
  <c r="S43" i="1" s="1"/>
  <c r="X43" i="1" s="1"/>
  <c r="H111" i="1"/>
  <c r="H85" i="1" s="1"/>
  <c r="H102" i="1" s="1"/>
  <c r="H110" i="1"/>
  <c r="F128" i="1"/>
  <c r="I109" i="1"/>
  <c r="I89" i="1"/>
  <c r="J30" i="1"/>
  <c r="B44" i="1"/>
  <c r="B63" i="1" s="1"/>
  <c r="I126" i="1"/>
  <c r="I33" i="1"/>
  <c r="I79" i="1"/>
  <c r="I37" i="1"/>
  <c r="I115" i="1"/>
  <c r="E132" i="1"/>
  <c r="F104" i="1"/>
  <c r="F105" i="1" s="1"/>
  <c r="G103" i="1"/>
  <c r="G127" i="1" s="1"/>
  <c r="G128" i="1" s="1"/>
  <c r="G95" i="3"/>
  <c r="I29" i="3"/>
  <c r="J30" i="3"/>
  <c r="J29" i="3" s="1"/>
  <c r="N33" i="3"/>
  <c r="S50" i="3"/>
  <c r="T50" i="3" s="1"/>
  <c r="U50" i="3" s="1"/>
  <c r="J106" i="3"/>
  <c r="B36" i="3"/>
  <c r="B55" i="3" s="1"/>
  <c r="J24" i="3"/>
  <c r="J70" i="3"/>
  <c r="J117" i="3"/>
  <c r="J100" i="3"/>
  <c r="J28" i="3"/>
  <c r="M51" i="3"/>
  <c r="N51" i="3" s="1"/>
  <c r="O51" i="3" s="1"/>
  <c r="P54" i="3"/>
  <c r="J48" i="3"/>
  <c r="K49" i="3"/>
  <c r="F95" i="3"/>
  <c r="X56" i="3" l="1"/>
  <c r="V50" i="3"/>
  <c r="V58" i="3"/>
  <c r="W58" i="3"/>
  <c r="F96" i="3"/>
  <c r="F118" i="3"/>
  <c r="V57" i="3"/>
  <c r="W57" i="3" s="1"/>
  <c r="V53" i="3"/>
  <c r="W53" i="3" s="1"/>
  <c r="W52" i="3"/>
  <c r="W50" i="3"/>
  <c r="T54" i="3"/>
  <c r="U54" i="3"/>
  <c r="V54" i="3" s="1"/>
  <c r="G96" i="3"/>
  <c r="G118" i="3"/>
  <c r="D120" i="3"/>
  <c r="E122" i="3"/>
  <c r="D122" i="3"/>
  <c r="D123" i="3" s="1"/>
  <c r="R31" i="3"/>
  <c r="S31" i="3" s="1"/>
  <c r="T31" i="3" s="1"/>
  <c r="X35" i="3"/>
  <c r="U31" i="3"/>
  <c r="V36" i="3"/>
  <c r="W36" i="3" s="1"/>
  <c r="N32" i="3"/>
  <c r="O32" i="3" s="1"/>
  <c r="P32" i="3" s="1"/>
  <c r="Q32" i="3" s="1"/>
  <c r="R32" i="3" s="1"/>
  <c r="S32" i="3" s="1"/>
  <c r="T32" i="3" s="1"/>
  <c r="V31" i="3"/>
  <c r="H95" i="3"/>
  <c r="I101" i="3"/>
  <c r="J101" i="3" s="1"/>
  <c r="X63" i="1"/>
  <c r="I93" i="3"/>
  <c r="I94" i="3" s="1"/>
  <c r="P39" i="1"/>
  <c r="Q39" i="1" s="1"/>
  <c r="R39" i="1" s="1"/>
  <c r="P51" i="3"/>
  <c r="Q51" i="3" s="1"/>
  <c r="K30" i="3"/>
  <c r="K29" i="3" s="1"/>
  <c r="R42" i="1"/>
  <c r="S42" i="1" s="1"/>
  <c r="X42" i="1" s="1"/>
  <c r="O60" i="1"/>
  <c r="P60" i="1" s="1"/>
  <c r="Q60" i="1" s="1"/>
  <c r="R60" i="1" s="1"/>
  <c r="S60" i="1" s="1"/>
  <c r="X60" i="1" s="1"/>
  <c r="N59" i="1"/>
  <c r="O59" i="1" s="1"/>
  <c r="P59" i="1" s="1"/>
  <c r="Q59" i="1" s="1"/>
  <c r="O41" i="1"/>
  <c r="M38" i="1"/>
  <c r="N38" i="1"/>
  <c r="O40" i="1"/>
  <c r="P40" i="1" s="1"/>
  <c r="K57" i="1"/>
  <c r="L58" i="1"/>
  <c r="M58" i="1" s="1"/>
  <c r="G104" i="1"/>
  <c r="G105" i="1" s="1"/>
  <c r="J109" i="1"/>
  <c r="J89" i="1"/>
  <c r="K30" i="1"/>
  <c r="B45" i="1"/>
  <c r="B64" i="1" s="1"/>
  <c r="J79" i="1"/>
  <c r="J126" i="1"/>
  <c r="J37" i="1"/>
  <c r="J115" i="1"/>
  <c r="J33" i="1"/>
  <c r="I110" i="1"/>
  <c r="I111" i="1"/>
  <c r="I85" i="1" s="1"/>
  <c r="G131" i="1"/>
  <c r="F131" i="1"/>
  <c r="F132" i="1" s="1"/>
  <c r="H103" i="1"/>
  <c r="H127" i="1" s="1"/>
  <c r="K70" i="3"/>
  <c r="K100" i="3"/>
  <c r="B37" i="3"/>
  <c r="B56" i="3" s="1"/>
  <c r="K28" i="3"/>
  <c r="K117" i="3"/>
  <c r="K106" i="3"/>
  <c r="K24" i="3"/>
  <c r="O33" i="3"/>
  <c r="Q54" i="3"/>
  <c r="R54" i="3" s="1"/>
  <c r="S54" i="3" s="1"/>
  <c r="K48" i="3"/>
  <c r="L49" i="3"/>
  <c r="M49" i="3" s="1"/>
  <c r="X58" i="3" l="1"/>
  <c r="X50" i="3"/>
  <c r="X57" i="3"/>
  <c r="W54" i="3"/>
  <c r="X54" i="3" s="1"/>
  <c r="X52" i="3"/>
  <c r="F119" i="3"/>
  <c r="F120" i="3"/>
  <c r="G119" i="3"/>
  <c r="G120" i="3"/>
  <c r="H96" i="3"/>
  <c r="H118" i="3"/>
  <c r="X53" i="3"/>
  <c r="E123" i="3"/>
  <c r="U32" i="3"/>
  <c r="V32" i="3" s="1"/>
  <c r="X36" i="3"/>
  <c r="W31" i="3"/>
  <c r="X31" i="3" s="1"/>
  <c r="J102" i="3"/>
  <c r="J76" i="3" s="1"/>
  <c r="J93" i="3" s="1"/>
  <c r="J94" i="3" s="1"/>
  <c r="I95" i="3"/>
  <c r="R51" i="3"/>
  <c r="S51" i="3" s="1"/>
  <c r="T51" i="3" s="1"/>
  <c r="L30" i="3"/>
  <c r="M48" i="3"/>
  <c r="N49" i="3"/>
  <c r="N48" i="3" s="1"/>
  <c r="O38" i="1"/>
  <c r="P41" i="1"/>
  <c r="P38" i="1" s="1"/>
  <c r="R59" i="1"/>
  <c r="S59" i="1" s="1"/>
  <c r="X59" i="1" s="1"/>
  <c r="M57" i="1"/>
  <c r="N58" i="1"/>
  <c r="N57" i="1" s="1"/>
  <c r="S39" i="1"/>
  <c r="Q40" i="1"/>
  <c r="L57" i="1"/>
  <c r="H104" i="1"/>
  <c r="H105" i="1" s="1"/>
  <c r="G132" i="1"/>
  <c r="K33" i="1"/>
  <c r="K79" i="1"/>
  <c r="K126" i="1"/>
  <c r="K37" i="1"/>
  <c r="K115" i="1"/>
  <c r="K89" i="1"/>
  <c r="K109" i="1"/>
  <c r="L30" i="1"/>
  <c r="B46" i="1"/>
  <c r="B65" i="1" s="1"/>
  <c r="J111" i="1"/>
  <c r="J85" i="1" s="1"/>
  <c r="J110" i="1"/>
  <c r="H128" i="1"/>
  <c r="L24" i="3"/>
  <c r="L100" i="3"/>
  <c r="L117" i="3"/>
  <c r="L80" i="3"/>
  <c r="L28" i="3"/>
  <c r="L70" i="3"/>
  <c r="B38" i="3"/>
  <c r="B57" i="3" s="1"/>
  <c r="L106" i="3"/>
  <c r="P33" i="3"/>
  <c r="Q33" i="3" s="1"/>
  <c r="R33" i="3" s="1"/>
  <c r="S33" i="3" s="1"/>
  <c r="T33" i="3" s="1"/>
  <c r="K102" i="3"/>
  <c r="K76" i="3" s="1"/>
  <c r="K93" i="3" s="1"/>
  <c r="K101" i="3"/>
  <c r="L48" i="3"/>
  <c r="U51" i="3" l="1"/>
  <c r="V51" i="3" s="1"/>
  <c r="W51" i="3" s="1"/>
  <c r="X51" i="3" s="1"/>
  <c r="F122" i="3"/>
  <c r="G122" i="3"/>
  <c r="I96" i="3"/>
  <c r="I118" i="3"/>
  <c r="F123" i="3"/>
  <c r="H119" i="3"/>
  <c r="H122" i="3" s="1"/>
  <c r="H120" i="3"/>
  <c r="U33" i="3"/>
  <c r="W32" i="3"/>
  <c r="X32" i="3" s="1"/>
  <c r="O49" i="3"/>
  <c r="O48" i="3" s="1"/>
  <c r="M30" i="3"/>
  <c r="L29" i="3"/>
  <c r="Q41" i="1"/>
  <c r="R41" i="1" s="1"/>
  <c r="S41" i="1" s="1"/>
  <c r="X41" i="1" s="1"/>
  <c r="X39" i="1"/>
  <c r="O58" i="1"/>
  <c r="R40" i="1"/>
  <c r="K111" i="1"/>
  <c r="K85" i="1" s="1"/>
  <c r="K110" i="1"/>
  <c r="H131" i="1"/>
  <c r="H132" i="1" s="1"/>
  <c r="L79" i="1"/>
  <c r="M30" i="1"/>
  <c r="L126" i="1"/>
  <c r="L37" i="1"/>
  <c r="L115" i="1"/>
  <c r="B47" i="1"/>
  <c r="B66" i="1" s="1"/>
  <c r="L33" i="1"/>
  <c r="L109" i="1"/>
  <c r="L89" i="1"/>
  <c r="K94" i="3"/>
  <c r="M100" i="3"/>
  <c r="M70" i="3"/>
  <c r="M117" i="3"/>
  <c r="M80" i="3"/>
  <c r="B39" i="3"/>
  <c r="B58" i="3" s="1"/>
  <c r="M28" i="3"/>
  <c r="M106" i="3"/>
  <c r="M24" i="3"/>
  <c r="L101" i="3"/>
  <c r="L102" i="3"/>
  <c r="L76" i="3" s="1"/>
  <c r="J95" i="3"/>
  <c r="G123" i="3" l="1"/>
  <c r="J96" i="3"/>
  <c r="J118" i="3"/>
  <c r="I120" i="3"/>
  <c r="I119" i="3"/>
  <c r="I122" i="3" s="1"/>
  <c r="H123" i="3"/>
  <c r="I123" i="3" s="1"/>
  <c r="V33" i="3"/>
  <c r="L93" i="3"/>
  <c r="L94" i="3" s="1"/>
  <c r="Q38" i="1"/>
  <c r="P49" i="3"/>
  <c r="P48" i="3" s="1"/>
  <c r="M29" i="3"/>
  <c r="N30" i="3"/>
  <c r="S40" i="1"/>
  <c r="R38" i="1"/>
  <c r="O57" i="1"/>
  <c r="P58" i="1"/>
  <c r="L111" i="1"/>
  <c r="L85" i="1" s="1"/>
  <c r="L110" i="1"/>
  <c r="M126" i="1"/>
  <c r="B48" i="1"/>
  <c r="B67" i="1" s="1"/>
  <c r="M37" i="1"/>
  <c r="M33" i="1"/>
  <c r="M115" i="1"/>
  <c r="M109" i="1"/>
  <c r="M89" i="1"/>
  <c r="N30" i="1"/>
  <c r="M79" i="1"/>
  <c r="K95" i="3"/>
  <c r="N117" i="3"/>
  <c r="B40" i="3"/>
  <c r="B59" i="3" s="1"/>
  <c r="N80" i="3"/>
  <c r="N28" i="3"/>
  <c r="N106" i="3"/>
  <c r="N24" i="3"/>
  <c r="N70" i="3"/>
  <c r="N100" i="3"/>
  <c r="M101" i="3"/>
  <c r="M102" i="3"/>
  <c r="M76" i="3" s="1"/>
  <c r="K96" i="3" l="1"/>
  <c r="K118" i="3"/>
  <c r="J119" i="3"/>
  <c r="J122" i="3" s="1"/>
  <c r="J123" i="3" s="1"/>
  <c r="J120" i="3"/>
  <c r="W33" i="3"/>
  <c r="M93" i="3"/>
  <c r="M94" i="3" s="1"/>
  <c r="Q49" i="3"/>
  <c r="R49" i="3" s="1"/>
  <c r="O30" i="3"/>
  <c r="N29" i="3"/>
  <c r="P57" i="1"/>
  <c r="Q58" i="1"/>
  <c r="X40" i="1"/>
  <c r="X38" i="1" s="1"/>
  <c r="S38" i="1"/>
  <c r="M111" i="1"/>
  <c r="M85" i="1" s="1"/>
  <c r="M110" i="1"/>
  <c r="N115" i="1"/>
  <c r="N33" i="1"/>
  <c r="N109" i="1"/>
  <c r="N89" i="1"/>
  <c r="O30" i="1"/>
  <c r="N79" i="1"/>
  <c r="B49" i="1"/>
  <c r="B68" i="1" s="1"/>
  <c r="N126" i="1"/>
  <c r="N37" i="1"/>
  <c r="L95" i="3"/>
  <c r="O117" i="3"/>
  <c r="B41" i="3"/>
  <c r="B60" i="3" s="1"/>
  <c r="O80" i="3"/>
  <c r="O28" i="3"/>
  <c r="O106" i="3"/>
  <c r="O24" i="3"/>
  <c r="O70" i="3"/>
  <c r="O100" i="3"/>
  <c r="N101" i="3"/>
  <c r="N102" i="3"/>
  <c r="N76" i="3" s="1"/>
  <c r="L96" i="3" l="1"/>
  <c r="L118" i="3"/>
  <c r="K119" i="3"/>
  <c r="K122" i="3" s="1"/>
  <c r="K123" i="3" s="1"/>
  <c r="K120" i="3"/>
  <c r="X33" i="3"/>
  <c r="Q48" i="3"/>
  <c r="N93" i="3"/>
  <c r="N94" i="3" s="1"/>
  <c r="O29" i="3"/>
  <c r="P30" i="3"/>
  <c r="AA31" i="1"/>
  <c r="Q57" i="1"/>
  <c r="R58" i="1"/>
  <c r="O115" i="1"/>
  <c r="O33" i="1"/>
  <c r="O37" i="1"/>
  <c r="O109" i="1"/>
  <c r="O89" i="1"/>
  <c r="P30" i="1"/>
  <c r="O79" i="1"/>
  <c r="B50" i="1"/>
  <c r="B69" i="1" s="1"/>
  <c r="O126" i="1"/>
  <c r="N111" i="1"/>
  <c r="N85" i="1" s="1"/>
  <c r="N110" i="1"/>
  <c r="P80" i="3"/>
  <c r="B42" i="3"/>
  <c r="B61" i="3" s="1"/>
  <c r="P28" i="3"/>
  <c r="P106" i="3"/>
  <c r="P24" i="3"/>
  <c r="P70" i="3"/>
  <c r="P100" i="3"/>
  <c r="M95" i="3"/>
  <c r="O102" i="3"/>
  <c r="O76" i="3" s="1"/>
  <c r="O101" i="3"/>
  <c r="R48" i="3"/>
  <c r="S49" i="3"/>
  <c r="T49" i="3" s="1"/>
  <c r="M96" i="3" l="1"/>
  <c r="M118" i="3"/>
  <c r="T48" i="3"/>
  <c r="U49" i="3"/>
  <c r="L119" i="3"/>
  <c r="L122" i="3" s="1"/>
  <c r="L123" i="3" s="1"/>
  <c r="L120" i="3"/>
  <c r="P29" i="3"/>
  <c r="Q30" i="3"/>
  <c r="Q29" i="3" s="1"/>
  <c r="O93" i="3"/>
  <c r="O94" i="3" s="1"/>
  <c r="R57" i="1"/>
  <c r="S58" i="1"/>
  <c r="Q30" i="1"/>
  <c r="P109" i="1"/>
  <c r="P89" i="1"/>
  <c r="P79" i="1"/>
  <c r="P126" i="1"/>
  <c r="B51" i="1"/>
  <c r="B70" i="1" s="1"/>
  <c r="P37" i="1"/>
  <c r="P115" i="1"/>
  <c r="P33" i="1"/>
  <c r="O111" i="1"/>
  <c r="O85" i="1" s="1"/>
  <c r="O110" i="1"/>
  <c r="N95" i="3"/>
  <c r="P102" i="3"/>
  <c r="P76" i="3" s="1"/>
  <c r="P101" i="3"/>
  <c r="Q80" i="3"/>
  <c r="Q28" i="3"/>
  <c r="Q106" i="3"/>
  <c r="Q24" i="3"/>
  <c r="Q70" i="3"/>
  <c r="B43" i="3"/>
  <c r="B62" i="3" s="1"/>
  <c r="Q100" i="3"/>
  <c r="S48" i="3"/>
  <c r="N96" i="3" l="1"/>
  <c r="N118" i="3"/>
  <c r="U48" i="3"/>
  <c r="V49" i="3"/>
  <c r="M119" i="3"/>
  <c r="M122" i="3" s="1"/>
  <c r="M123" i="3" s="1"/>
  <c r="M120" i="3"/>
  <c r="R30" i="3"/>
  <c r="R29" i="3" s="1"/>
  <c r="P93" i="3"/>
  <c r="P94" i="3" s="1"/>
  <c r="S57" i="1"/>
  <c r="X58" i="1"/>
  <c r="X57" i="1" s="1"/>
  <c r="P111" i="1"/>
  <c r="P85" i="1" s="1"/>
  <c r="P110" i="1"/>
  <c r="Q109" i="1"/>
  <c r="Q89" i="1"/>
  <c r="R30" i="1"/>
  <c r="Q37" i="1"/>
  <c r="Q79" i="1"/>
  <c r="Q126" i="1"/>
  <c r="Q115" i="1"/>
  <c r="B52" i="1"/>
  <c r="B71" i="1" s="1"/>
  <c r="Q33" i="1"/>
  <c r="O95" i="3"/>
  <c r="R106" i="3"/>
  <c r="R24" i="3"/>
  <c r="R70" i="3"/>
  <c r="R100" i="3"/>
  <c r="B44" i="3"/>
  <c r="B63" i="3" s="1"/>
  <c r="R80" i="3"/>
  <c r="R28" i="3"/>
  <c r="Q102" i="3"/>
  <c r="Q76" i="3" s="1"/>
  <c r="Q93" i="3" s="1"/>
  <c r="Q101" i="3"/>
  <c r="W49" i="3" l="1"/>
  <c r="V48" i="3"/>
  <c r="O96" i="3"/>
  <c r="O118" i="3"/>
  <c r="N119" i="3"/>
  <c r="N122" i="3" s="1"/>
  <c r="N123" i="3" s="1"/>
  <c r="N120" i="3"/>
  <c r="S30" i="3"/>
  <c r="AA32" i="1"/>
  <c r="R109" i="1"/>
  <c r="R89" i="1"/>
  <c r="B53" i="1"/>
  <c r="B72" i="1" s="1"/>
  <c r="S30" i="1"/>
  <c r="T30" i="1" s="1"/>
  <c r="R79" i="1"/>
  <c r="R126" i="1"/>
  <c r="R37" i="1"/>
  <c r="R115" i="1"/>
  <c r="R33" i="1"/>
  <c r="Q110" i="1"/>
  <c r="Q111" i="1"/>
  <c r="Q85" i="1" s="1"/>
  <c r="Q102" i="1" s="1"/>
  <c r="S70" i="3"/>
  <c r="S80" i="3"/>
  <c r="S100" i="3"/>
  <c r="S106" i="3"/>
  <c r="B45" i="3"/>
  <c r="B64" i="3" s="1"/>
  <c r="S24" i="3"/>
  <c r="S28" i="3"/>
  <c r="R102" i="3"/>
  <c r="R76" i="3" s="1"/>
  <c r="R93" i="3" s="1"/>
  <c r="R101" i="3"/>
  <c r="Q94" i="3"/>
  <c r="P95" i="3"/>
  <c r="P96" i="3" l="1"/>
  <c r="P118" i="3"/>
  <c r="S29" i="3"/>
  <c r="T30" i="3"/>
  <c r="X49" i="3"/>
  <c r="X48" i="3" s="1"/>
  <c r="W48" i="3"/>
  <c r="AA23" i="3" s="1"/>
  <c r="O119" i="3"/>
  <c r="O122" i="3" s="1"/>
  <c r="O123" i="3" s="1"/>
  <c r="O120" i="3"/>
  <c r="U30" i="1"/>
  <c r="T109" i="1"/>
  <c r="T126" i="1"/>
  <c r="T115" i="1"/>
  <c r="T89" i="1"/>
  <c r="T79" i="1"/>
  <c r="T37" i="1"/>
  <c r="AA33" i="1"/>
  <c r="AA127" i="1"/>
  <c r="AA128" i="1" s="1"/>
  <c r="Q103" i="1"/>
  <c r="Q127" i="1" s="1"/>
  <c r="Q128" i="1" s="1"/>
  <c r="S79" i="1"/>
  <c r="S37" i="1"/>
  <c r="S126" i="1"/>
  <c r="S33" i="1"/>
  <c r="B54" i="1"/>
  <c r="B73" i="1" s="1"/>
  <c r="S115" i="1"/>
  <c r="S109" i="1"/>
  <c r="S89" i="1"/>
  <c r="R111" i="1"/>
  <c r="R85" i="1" s="1"/>
  <c r="R102" i="1" s="1"/>
  <c r="R110" i="1"/>
  <c r="Q95" i="3"/>
  <c r="S102" i="3"/>
  <c r="S76" i="3" s="1"/>
  <c r="S93" i="3" s="1"/>
  <c r="S101" i="3"/>
  <c r="R94" i="3"/>
  <c r="B46" i="3"/>
  <c r="B65" i="3" s="1"/>
  <c r="U30" i="3" l="1"/>
  <c r="T29" i="3"/>
  <c r="Q96" i="3"/>
  <c r="Q118" i="3"/>
  <c r="P120" i="3"/>
  <c r="P119" i="3"/>
  <c r="P122" i="3" s="1"/>
  <c r="P123" i="3" s="1"/>
  <c r="V30" i="1"/>
  <c r="U126" i="1"/>
  <c r="U109" i="1"/>
  <c r="U115" i="1"/>
  <c r="U79" i="1"/>
  <c r="U89" i="1"/>
  <c r="U37" i="1"/>
  <c r="T102" i="3"/>
  <c r="T76" i="3" s="1"/>
  <c r="T101" i="3"/>
  <c r="R103" i="1"/>
  <c r="R127" i="1" s="1"/>
  <c r="R128" i="1" s="1"/>
  <c r="S111" i="1"/>
  <c r="S85" i="1" s="1"/>
  <c r="S102" i="1" s="1"/>
  <c r="S110" i="1"/>
  <c r="Q104" i="1"/>
  <c r="Q105" i="1" s="1"/>
  <c r="R95" i="3"/>
  <c r="S94" i="3"/>
  <c r="R96" i="3" l="1"/>
  <c r="R118" i="3"/>
  <c r="V30" i="3"/>
  <c r="U29" i="3"/>
  <c r="Q120" i="3"/>
  <c r="Q119" i="3"/>
  <c r="Q122" i="3" s="1"/>
  <c r="Q123" i="3" s="1"/>
  <c r="V109" i="1"/>
  <c r="V115" i="1"/>
  <c r="V126" i="1"/>
  <c r="V37" i="1"/>
  <c r="V79" i="1"/>
  <c r="V89" i="1"/>
  <c r="W30" i="1"/>
  <c r="T110" i="1"/>
  <c r="T111" i="1"/>
  <c r="T85" i="1" s="1"/>
  <c r="T102" i="1" s="1"/>
  <c r="U101" i="3"/>
  <c r="V102" i="3" s="1"/>
  <c r="V76" i="3" s="1"/>
  <c r="U102" i="3"/>
  <c r="U76" i="3" s="1"/>
  <c r="T93" i="3"/>
  <c r="S103" i="1"/>
  <c r="R104" i="1"/>
  <c r="R105" i="1" s="1"/>
  <c r="S95" i="3"/>
  <c r="W30" i="3" l="1"/>
  <c r="V29" i="3"/>
  <c r="T103" i="1"/>
  <c r="T127" i="1" s="1"/>
  <c r="T128" i="1" s="1"/>
  <c r="T104" i="1"/>
  <c r="T105" i="1" s="1"/>
  <c r="R119" i="3"/>
  <c r="R122" i="3" s="1"/>
  <c r="R123" i="3" s="1"/>
  <c r="R120" i="3"/>
  <c r="S96" i="3"/>
  <c r="S118" i="3"/>
  <c r="S127" i="1"/>
  <c r="S128" i="1" s="1"/>
  <c r="X30" i="1"/>
  <c r="W109" i="1"/>
  <c r="W126" i="1"/>
  <c r="W115" i="1"/>
  <c r="W37" i="1"/>
  <c r="W79" i="1"/>
  <c r="W89" i="1"/>
  <c r="U110" i="1"/>
  <c r="U111" i="1"/>
  <c r="U85" i="1" s="1"/>
  <c r="U102" i="1" s="1"/>
  <c r="U103" i="1" s="1"/>
  <c r="T94" i="3"/>
  <c r="U93" i="3"/>
  <c r="V101" i="3"/>
  <c r="S104" i="1"/>
  <c r="S105" i="1" s="1"/>
  <c r="S120" i="3" l="1"/>
  <c r="S119" i="3"/>
  <c r="X30" i="3"/>
  <c r="X29" i="3" s="1"/>
  <c r="W29" i="3"/>
  <c r="AA22" i="3" s="1"/>
  <c r="U104" i="1"/>
  <c r="U105" i="1" s="1"/>
  <c r="U127" i="1"/>
  <c r="U128" i="1" s="1"/>
  <c r="S122" i="3"/>
  <c r="S123" i="3" s="1"/>
  <c r="V93" i="3"/>
  <c r="V94" i="3" s="1"/>
  <c r="X109" i="1"/>
  <c r="X126" i="1"/>
  <c r="X115" i="1"/>
  <c r="X89" i="1"/>
  <c r="X37" i="1"/>
  <c r="X79" i="1"/>
  <c r="X33" i="1"/>
  <c r="B55" i="1"/>
  <c r="B74" i="1" s="1"/>
  <c r="V111" i="1"/>
  <c r="V85" i="1" s="1"/>
  <c r="V102" i="1" s="1"/>
  <c r="V110" i="1"/>
  <c r="T95" i="3"/>
  <c r="W101" i="3"/>
  <c r="W102" i="3"/>
  <c r="W76" i="3" s="1"/>
  <c r="U94" i="3"/>
  <c r="V103" i="1" l="1"/>
  <c r="V127" i="1" s="1"/>
  <c r="V128" i="1" s="1"/>
  <c r="V104" i="1"/>
  <c r="V105" i="1" s="1"/>
  <c r="T96" i="3"/>
  <c r="T118" i="3"/>
  <c r="V95" i="3"/>
  <c r="AA118" i="3"/>
  <c r="AA24" i="3"/>
  <c r="W110" i="1"/>
  <c r="X111" i="1" s="1"/>
  <c r="X85" i="1" s="1"/>
  <c r="W111" i="1"/>
  <c r="W85" i="1" s="1"/>
  <c r="W102" i="1" s="1"/>
  <c r="U95" i="3"/>
  <c r="W93" i="3"/>
  <c r="X101" i="3"/>
  <c r="X102" i="3"/>
  <c r="X76" i="3" s="1"/>
  <c r="AA119" i="3" l="1"/>
  <c r="AA120" i="3"/>
  <c r="W103" i="1"/>
  <c r="W127" i="1" s="1"/>
  <c r="W128" i="1" s="1"/>
  <c r="W104" i="1"/>
  <c r="W105" i="1" s="1"/>
  <c r="V96" i="3"/>
  <c r="V118" i="3"/>
  <c r="T120" i="3"/>
  <c r="T119" i="3"/>
  <c r="T122" i="3" s="1"/>
  <c r="T123" i="3" s="1"/>
  <c r="U96" i="3"/>
  <c r="U118" i="3"/>
  <c r="X102" i="1"/>
  <c r="X103" i="1" s="1"/>
  <c r="X104" i="1" s="1"/>
  <c r="X105" i="1" s="1"/>
  <c r="X110" i="1"/>
  <c r="X93" i="3"/>
  <c r="W94" i="3"/>
  <c r="P102" i="1"/>
  <c r="O102" i="1"/>
  <c r="V120" i="3" l="1"/>
  <c r="V119" i="3"/>
  <c r="U119" i="3"/>
  <c r="U122" i="3" s="1"/>
  <c r="U123" i="3" s="1"/>
  <c r="U120" i="3"/>
  <c r="X127" i="1"/>
  <c r="W95" i="3"/>
  <c r="X94" i="3"/>
  <c r="O103" i="1"/>
  <c r="O127" i="1" s="1"/>
  <c r="P103" i="1"/>
  <c r="P127" i="1" s="1"/>
  <c r="W96" i="3" l="1"/>
  <c r="W118" i="3"/>
  <c r="V122" i="3"/>
  <c r="V123" i="3" s="1"/>
  <c r="X128" i="1"/>
  <c r="X95" i="3"/>
  <c r="O128" i="1"/>
  <c r="O104" i="1"/>
  <c r="O105" i="1" s="1"/>
  <c r="P128" i="1"/>
  <c r="P104" i="1"/>
  <c r="P105" i="1" s="1"/>
  <c r="K102" i="1"/>
  <c r="W119" i="3" l="1"/>
  <c r="W122" i="3" s="1"/>
  <c r="W123" i="3" s="1"/>
  <c r="W120" i="3"/>
  <c r="X96" i="3"/>
  <c r="X118" i="3"/>
  <c r="C14" i="1" s="1"/>
  <c r="I100" i="1"/>
  <c r="I102" i="1" s="1"/>
  <c r="I103" i="1" s="1"/>
  <c r="I127" i="1" s="1"/>
  <c r="K103" i="1"/>
  <c r="K127" i="1" s="1"/>
  <c r="L102" i="1"/>
  <c r="I129" i="1" l="1"/>
  <c r="X119" i="3"/>
  <c r="X120" i="3"/>
  <c r="C26" i="6"/>
  <c r="M102" i="1"/>
  <c r="L103" i="1"/>
  <c r="L127" i="1" s="1"/>
  <c r="I128" i="1"/>
  <c r="N102" i="1"/>
  <c r="K128" i="1"/>
  <c r="K104" i="1"/>
  <c r="K105" i="1" s="1"/>
  <c r="J102" i="1"/>
  <c r="I104" i="1"/>
  <c r="I105" i="1" s="1"/>
  <c r="X122" i="3" l="1"/>
  <c r="X123" i="3" s="1"/>
  <c r="C28" i="6" s="1"/>
  <c r="C15" i="1" s="1"/>
  <c r="C27" i="6"/>
  <c r="S129" i="1"/>
  <c r="T129" i="1"/>
  <c r="V129" i="1"/>
  <c r="W129" i="1"/>
  <c r="X129" i="1"/>
  <c r="AA129" i="1"/>
  <c r="U129" i="1"/>
  <c r="Q129" i="1"/>
  <c r="G129" i="1"/>
  <c r="O129" i="1"/>
  <c r="E129" i="1"/>
  <c r="P129" i="1"/>
  <c r="R129" i="1"/>
  <c r="H129" i="1"/>
  <c r="F129" i="1"/>
  <c r="K129" i="1"/>
  <c r="L104" i="1"/>
  <c r="L105" i="1" s="1"/>
  <c r="N103" i="1"/>
  <c r="N127" i="1" s="1"/>
  <c r="I131" i="1"/>
  <c r="I132" i="1" s="1"/>
  <c r="J103" i="1"/>
  <c r="J127" i="1" s="1"/>
  <c r="E134" i="1" s="1"/>
  <c r="L128" i="1"/>
  <c r="L129" i="1"/>
  <c r="M103" i="1"/>
  <c r="M127" i="1" s="1"/>
  <c r="N104" i="1" l="1"/>
  <c r="N105" i="1" s="1"/>
  <c r="M128" i="1"/>
  <c r="M129" i="1"/>
  <c r="M104" i="1"/>
  <c r="M105" i="1" s="1"/>
  <c r="J129" i="1"/>
  <c r="J128" i="1"/>
  <c r="C6" i="6"/>
  <c r="J104" i="1"/>
  <c r="J105" i="1" s="1"/>
  <c r="N129" i="1"/>
  <c r="N128" i="1"/>
  <c r="X131" i="1" l="1"/>
  <c r="W131" i="1"/>
  <c r="U131" i="1"/>
  <c r="V131" i="1"/>
  <c r="T131" i="1"/>
  <c r="O131" i="1"/>
  <c r="K131" i="1"/>
  <c r="S131" i="1"/>
  <c r="L131" i="1"/>
  <c r="Q131" i="1"/>
  <c r="M131" i="1"/>
  <c r="N131" i="1"/>
  <c r="P131" i="1"/>
  <c r="J131" i="1"/>
  <c r="J132" i="1" s="1"/>
  <c r="R131" i="1"/>
  <c r="C7" i="6"/>
  <c r="K132" i="1" l="1"/>
  <c r="L132" i="1" l="1"/>
  <c r="M132" i="1" l="1"/>
  <c r="N132" i="1" s="1"/>
  <c r="O132" i="1" l="1"/>
  <c r="P132" i="1" l="1"/>
  <c r="Q132" i="1" s="1"/>
  <c r="R132" i="1" s="1"/>
  <c r="S132" i="1" s="1"/>
  <c r="T132" i="1" l="1"/>
  <c r="U132" i="1" l="1"/>
  <c r="V132" i="1" l="1"/>
  <c r="W132" i="1" l="1"/>
  <c r="X132" i="1" s="1"/>
  <c r="C13" i="6" s="1"/>
  <c r="C8" i="6"/>
  <c r="C9" i="6" s="1"/>
  <c r="C11" i="6" s="1"/>
  <c r="C17" i="6"/>
  <c r="C14" i="6" s="1"/>
  <c r="C1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Aurelien DE LA NOUE</author>
  </authors>
  <commentList>
    <comment ref="C57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Aurelien DE LA NOUE: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Possible de détailler les durées d'amortissement sur chacun des investissements ci-dessous (développer les lignes sur le côté)</t>
        </r>
      </text>
    </comment>
  </commentList>
</comments>
</file>

<file path=xl/sharedStrings.xml><?xml version="1.0" encoding="utf-8"?>
<sst xmlns="http://schemas.openxmlformats.org/spreadsheetml/2006/main" count="156" uniqueCount="93">
  <si>
    <t>Année de début du projet</t>
  </si>
  <si>
    <t>Hypothèses</t>
  </si>
  <si>
    <t>Année de fin du projet</t>
  </si>
  <si>
    <t>Etudes de faisabilité, coûts d'obtention des autorisations requises</t>
  </si>
  <si>
    <t>Coût des machines / équipements (actifs corporels et incorporels)</t>
  </si>
  <si>
    <t>Coûts des matériaux / fournitures</t>
  </si>
  <si>
    <t>Coûts des brevets / actifs incorporels / recherche contractuelle</t>
  </si>
  <si>
    <t>Frais de personnel / frais administratifs, y compris les frais généraux</t>
  </si>
  <si>
    <t>Autres coûts</t>
  </si>
  <si>
    <t>Coûts d'achat / construction de terrains / bâtiments (actifs corporels)</t>
  </si>
  <si>
    <t>Recettes estimées du projet</t>
  </si>
  <si>
    <t>Amortissement de la construction de terrains / bâtiments</t>
  </si>
  <si>
    <t xml:space="preserve">Durée </t>
  </si>
  <si>
    <t xml:space="preserve">Amortissement des machines / équipements acheté en </t>
  </si>
  <si>
    <r>
      <t>Dépenses d'investissement</t>
    </r>
    <r>
      <rPr>
        <sz val="11"/>
        <color theme="0"/>
        <rFont val="Arial"/>
        <family val="2"/>
      </rPr>
      <t xml:space="preserve"> (en Millions d'euros)</t>
    </r>
  </si>
  <si>
    <r>
      <t>Amortissement des investissements</t>
    </r>
    <r>
      <rPr>
        <sz val="11"/>
        <color theme="0"/>
        <rFont val="Arial"/>
        <family val="2"/>
      </rPr>
      <t xml:space="preserve"> (en millions d'euros)</t>
    </r>
  </si>
  <si>
    <t>Chiffre d'affaire (en millions d'euros)</t>
  </si>
  <si>
    <t>Résultat net avant impôt (en millions d'euros)</t>
  </si>
  <si>
    <t>Résultat net (en millions d'euros)</t>
  </si>
  <si>
    <t>Charges financières liées au financement</t>
  </si>
  <si>
    <t>Financement du projet</t>
  </si>
  <si>
    <t>Emprunt</t>
  </si>
  <si>
    <t>Montant emprunté</t>
  </si>
  <si>
    <t>Durée</t>
  </si>
  <si>
    <t>Taux d'intérêt</t>
  </si>
  <si>
    <t>Charge d'emprunt</t>
  </si>
  <si>
    <t>Flux de trésorerie</t>
  </si>
  <si>
    <t>Flux de trésorerie actualisé</t>
  </si>
  <si>
    <t>Résultat net actualisé</t>
  </si>
  <si>
    <t>Somme des flux de trésorerie actualisé</t>
  </si>
  <si>
    <t>Année de retour sur investissement</t>
  </si>
  <si>
    <t>Temps de retour sur investissement (années)</t>
  </si>
  <si>
    <t>Financement</t>
  </si>
  <si>
    <t>Généralités</t>
  </si>
  <si>
    <t>Attentes de rentabilité</t>
  </si>
  <si>
    <t>Année de d'encaissement de l'emprunt</t>
  </si>
  <si>
    <t>Coûts actualisés</t>
  </si>
  <si>
    <t>TRI attendu</t>
  </si>
  <si>
    <t>TRI</t>
  </si>
  <si>
    <t>Flux de trésorerie actualisé (au TRI souhaité)</t>
  </si>
  <si>
    <t>exemple</t>
  </si>
  <si>
    <t>Paramètre de l'aide publique</t>
  </si>
  <si>
    <t>Aide publique nécessaire pour atteindre le TRI souhaité</t>
  </si>
  <si>
    <t>Aide publique nécessaire pour le temps de retour souhaité</t>
  </si>
  <si>
    <t>Sont à remplir avec les données de l'entreprise les cellules suivantes</t>
  </si>
  <si>
    <t>Temps de retour sur investissement attendu (en années)</t>
  </si>
  <si>
    <t>Stock (début d'année)</t>
  </si>
  <si>
    <t>Stock (fin d'année)</t>
  </si>
  <si>
    <t>Créances clients (fin d'année)</t>
  </si>
  <si>
    <t>Dette fournisseurs (fin d'année)</t>
  </si>
  <si>
    <t>Créances clients (début d'année)</t>
  </si>
  <si>
    <t>Dette fournisseurs (début d'année)</t>
  </si>
  <si>
    <t>Variation du BFR</t>
  </si>
  <si>
    <t>VAN associée</t>
  </si>
  <si>
    <r>
      <t>Valeur terminale</t>
    </r>
    <r>
      <rPr>
        <sz val="11"/>
        <color theme="0"/>
        <rFont val="Arial"/>
        <family val="2"/>
      </rPr>
      <t xml:space="preserve"> (éventuelle)</t>
    </r>
  </si>
  <si>
    <t>VT nominale (des machines / équipements)</t>
  </si>
  <si>
    <t>VT nominale (construction de terrains / bâtiments)</t>
  </si>
  <si>
    <t>VT actualisée</t>
  </si>
  <si>
    <t>VT nominale</t>
  </si>
  <si>
    <t>VT actualisée (au TRI souhaité)</t>
  </si>
  <si>
    <t>Scénario factuel : le projet espéré - pour calcul de subvention</t>
  </si>
  <si>
    <t>Scénario contrefactuel : projet alternatif en l'absence d'aide</t>
  </si>
  <si>
    <t>Onglet à remplir</t>
  </si>
  <si>
    <t>Autre subvention publique (avec la certitude que cette aide est accordée)</t>
  </si>
  <si>
    <t>Calcul du montant d'aide possible</t>
  </si>
  <si>
    <t>Résultat financier du projet alternatif (contrefactuel)</t>
  </si>
  <si>
    <t>Résultat financier du projet (factuel)</t>
  </si>
  <si>
    <t>Impôt sur les sociétés</t>
  </si>
  <si>
    <t>Année de remboursement de l'avance remboursable</t>
  </si>
  <si>
    <t>Dont partie subvention (théorique)</t>
  </si>
  <si>
    <t>Paramètre de l'avance remboursable</t>
  </si>
  <si>
    <t>Année de décaissement</t>
  </si>
  <si>
    <t>Taux d'intérêt annuel appliqué (Eurbibor + 100BP)</t>
  </si>
  <si>
    <t>Stock (début d'année) (k€)</t>
  </si>
  <si>
    <t>TRI —&gt;</t>
  </si>
  <si>
    <r>
      <t>Charges non amortissables</t>
    </r>
    <r>
      <rPr>
        <sz val="11"/>
        <color theme="0"/>
        <rFont val="Arial"/>
        <family val="2"/>
      </rPr>
      <t xml:space="preserve"> (en millions d'euros)</t>
    </r>
  </si>
  <si>
    <t>Taux d'IS (impôts sur les sociétés)</t>
  </si>
  <si>
    <t>Taux d'IS (impôt des sociétés)</t>
  </si>
  <si>
    <r>
      <t>Dépenses d'investissement</t>
    </r>
    <r>
      <rPr>
        <sz val="11"/>
        <color theme="0"/>
        <rFont val="Arial"/>
        <family val="2"/>
      </rPr>
      <t xml:space="preserve"> (en millions d'euros)</t>
    </r>
  </si>
  <si>
    <t>Durée (en années)</t>
  </si>
  <si>
    <t>Calcul de la variation du BFR (besoin en fonds de roulement)</t>
  </si>
  <si>
    <t>Calcul de FCF (flux de trésorerie)</t>
  </si>
  <si>
    <r>
      <t>ESB (Equivalent Subvention b</t>
    </r>
    <r>
      <rPr>
        <sz val="11"/>
        <color theme="1"/>
        <rFont val="Arial"/>
        <family val="2"/>
      </rPr>
      <t>rute</t>
    </r>
    <r>
      <rPr>
        <i/>
        <sz val="11"/>
        <color theme="1"/>
        <rFont val="Arial"/>
        <family val="2"/>
      </rPr>
      <t>) AR (théorique)</t>
    </r>
  </si>
  <si>
    <t>ESB (Equivalent Subvention brute) AR (théorique)</t>
  </si>
  <si>
    <t>Graines (kg)</t>
  </si>
  <si>
    <t>Plants (nombre de plants vendus)</t>
  </si>
  <si>
    <t>Plants (€/plant)</t>
  </si>
  <si>
    <t>Graines (€/kg)</t>
  </si>
  <si>
    <t xml:space="preserve">Prix de vente </t>
  </si>
  <si>
    <t>Volumes de vente</t>
  </si>
  <si>
    <t>Graines (en kg)</t>
  </si>
  <si>
    <t>Plants (en nombre de plants)</t>
  </si>
  <si>
    <t>Prix de vente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</si>
</sst>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;\-#,##0;"/>
    <numFmt numFmtId="166" formatCode="0.0%"/>
    <numFmt numFmtId="167" formatCode="0;\-0;"/>
    <numFmt numFmtId="168" formatCode="#,##0.00;\-#,##0.00;"/>
    <numFmt numFmtId="169" formatCode="0%;\-0%;"/>
    <numFmt numFmtId="170" formatCode="0.0%;\-0.0%;"/>
    <numFmt numFmtId="171" formatCode="0.00%;\-0.00%;"/>
    <numFmt numFmtId="172" formatCode="\+0;\-0;"/>
    <numFmt numFmtId="173" formatCode="\+#,##0;\-#,##0;"/>
    <numFmt numFmtId="174" formatCode="\+#,##0.00;\-#,##0.00;"/>
    <numFmt numFmtId="175" formatCode="\+0%;\-0%;"/>
    <numFmt numFmtId="176" formatCode="\+0.0%;\-0.0%;"/>
    <numFmt numFmtId="177" formatCode="\+0.00%;\-0.00%;"/>
    <numFmt numFmtId="178" formatCode="dd\-mm\-yyyy"/>
    <numFmt numFmtId="179" formatCode="mmmm\ yyyy"/>
    <numFmt numFmtId="180" formatCode="dd\-mm\-yy"/>
    <numFmt numFmtId="181" formatCode="0.00&quot; %&quot;;\-0.00&quot; %&quot;;"/>
    <numFmt numFmtId="182" formatCode="_-* #,##0&quot; $&quot;_-;\-* #,##0&quot; $&quot;_-;_-* &quot;-&quot;&quot; $&quot;_-;_-@_-"/>
    <numFmt numFmtId="183" formatCode="_-* #,##0&quot; £&quot;_-;\-* #,##0&quot; £&quot;_-;_-* &quot;-&quot;&quot; £&quot;_-;_-@_-"/>
    <numFmt numFmtId="184" formatCode="0.0"/>
    <numFmt numFmtId="185" formatCode="0.00;\-0.00;"/>
    <numFmt numFmtId="186" formatCode="\+0.00;\-0.00;"/>
    <numFmt numFmtId="187" formatCode="0;[Red]\-0;"/>
    <numFmt numFmtId="188" formatCode="#,##0;[Red]\-#,##0;"/>
    <numFmt numFmtId="189" formatCode="0.00;[Red]\-0.00;"/>
    <numFmt numFmtId="190" formatCode="#,##0.00;[Red]\-#,##0.00;"/>
    <numFmt numFmtId="191" formatCode="0%;[Red]\-0%;"/>
    <numFmt numFmtId="192" formatCode="0.0%;[Red]\-0.0%;"/>
    <numFmt numFmtId="193" formatCode="0.00%;[Red]\-0.00%;"/>
    <numFmt numFmtId="194" formatCode="_-* #,##0&quot; DM&quot;_-;\-* #,##0&quot; DM&quot;_-;_-* &quot;-&quot;&quot; DM&quot;_-;_-@_-"/>
    <numFmt numFmtId="195" formatCode="_-* #,##0.00\ [$€-1]_-;\-* #,##0.00\ [$€-1]_-;_-* &quot;-&quot;??\ [$€-1]_-"/>
    <numFmt numFmtId="196" formatCode="_-* #,##0.00\ [$€]_-;\-* #,##0.00\ [$€]_-;_-* &quot;-&quot;??\ [$€]_-;_-@_-"/>
    <numFmt numFmtId="197" formatCode="0&quot; jours&quot;;\-0&quot; jours&quot;;&quot;- jours&quot;"/>
    <numFmt numFmtId="198" formatCode="#,##0&quot; kF&quot;;\-#,##0&quot; kF&quot;;&quot;- kF&quot;;_-@_-"/>
    <numFmt numFmtId="199" formatCode="[&lt;0]\ &quot;0&quot;;#,###"/>
    <numFmt numFmtId="200" formatCode="#,##0&quot; h&quot;"/>
    <numFmt numFmtId="201" formatCode="\$#,##0.00;[Red]\-\$#,##0.00"/>
    <numFmt numFmtId="202" formatCode="\$#,##0\ ;\(\$#,##0\)"/>
    <numFmt numFmtId="203" formatCode="mmm&quot; &quot;yy"/>
    <numFmt numFmtId="204" formatCode="#,##0.0&quot; déf/kLoc&quot;"/>
    <numFmt numFmtId="205" formatCode="#,##0.0&quot; h/déf&quot;"/>
    <numFmt numFmtId="206" formatCode="_-* #,##0.00\ _F_-;\-* #,##0.00\ _F_-;_-* &quot;-&quot;??\ _F_-;_-@_-"/>
    <numFmt numFmtId="207" formatCode="0.00_)"/>
    <numFmt numFmtId="208" formatCode="??0&quot; %&quot;"/>
    <numFmt numFmtId="209" formatCode="General_)"/>
    <numFmt numFmtId="210" formatCode="_-* #,##0\ &quot;DM&quot;_-;\-* #,##0\ &quot;DM&quot;_-;_-* &quot;-&quot;\ &quot;DM&quot;_-;_-@_-"/>
    <numFmt numFmtId="211" formatCode="_-* #,##0.00\ &quot;DM&quot;_-;\-* #,##0.00\ &quot;DM&quot;_-;_-* &quot;-&quot;??\ &quot;DM&quot;_-;_-@_-"/>
    <numFmt numFmtId="212" formatCode="#,##0.00;[Red]\-#,##0.00;&quot;-&quot;??"/>
    <numFmt numFmtId="213" formatCode="_ * #,##0.00_ ;_ * \-#,##0.00_ ;_ * &quot;-&quot;??_ ;_ @_ "/>
    <numFmt numFmtId="214" formatCode="_ * #,##0.0_ ;_ * \-#,##0.0_ ;_ * &quot;-&quot;??_ ;_ @_ "/>
    <numFmt numFmtId="215" formatCode="_ * #,##0_ ;_ * \-#,##0_ ;_ * &quot;-&quot;??_ ;_ @_ "/>
    <numFmt numFmtId="216" formatCode="_-* #,##0.0_-;\-* #,##0.0_-;_-* &quot;-&quot;??_-;_-@_-"/>
    <numFmt numFmtId="217" formatCode="_-* #,##0_-;\-* #,##0_-;_-* &quot;-&quot;??_-;_-@_-"/>
    <numFmt numFmtId="218" formatCode="0.000%"/>
    <numFmt numFmtId="219" formatCode="_ * #,##0.000_ ;_ * \-#,##0.000_ ;_ * &quot;-&quot;??_ ;_ @_ 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Tms Rmn"/>
    </font>
    <font>
      <b/>
      <sz val="12"/>
      <name val="Tms Rmn"/>
    </font>
    <font>
      <b/>
      <sz val="14"/>
      <name val="Tms Rmn"/>
    </font>
    <font>
      <sz val="10"/>
      <name val="Geneva"/>
      <family val="2"/>
    </font>
    <font>
      <sz val="10"/>
      <name val="Times"/>
      <family val="1"/>
    </font>
    <font>
      <sz val="8"/>
      <name val="Times"/>
      <family val="1"/>
    </font>
    <font>
      <sz val="9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G Times (WN)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u/>
      <sz val="8"/>
      <color indexed="12"/>
      <name val="Geneva"/>
      <family val="2"/>
    </font>
    <font>
      <u/>
      <sz val="8"/>
      <color indexed="12"/>
      <name val="Times New Roman"/>
      <family val="1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name val="Arial MT"/>
    </font>
    <font>
      <sz val="8"/>
      <color indexed="9"/>
      <name val="Arial"/>
      <family val="2"/>
    </font>
    <font>
      <b/>
      <sz val="10"/>
      <name val="Helv"/>
    </font>
    <font>
      <sz val="12"/>
      <color indexed="18"/>
      <name val="Arial"/>
      <family val="2"/>
    </font>
    <font>
      <sz val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b/>
      <sz val="12"/>
      <name val="Helv"/>
    </font>
    <font>
      <sz val="8"/>
      <color indexed="15"/>
      <name val="MS Sans Serif"/>
      <family val="2"/>
    </font>
    <font>
      <b/>
      <sz val="11"/>
      <name val="Helv"/>
    </font>
    <font>
      <b/>
      <i/>
      <sz val="16"/>
      <name val="Helv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Courier"/>
      <family val="3"/>
    </font>
    <font>
      <b/>
      <sz val="8"/>
      <name val="Arial"/>
      <family val="2"/>
    </font>
    <font>
      <sz val="8"/>
      <name val="Times New Roman"/>
      <family val="1"/>
    </font>
    <font>
      <sz val="12"/>
      <name val="바탕체"/>
      <family val="1"/>
      <charset val="129"/>
    </font>
    <font>
      <sz val="11"/>
      <name val="돋움"/>
      <family val="2"/>
      <charset val="129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1"/>
      <color theme="1"/>
      <name val="Georgia"/>
      <family val="2"/>
      <charset val="134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rgb="FF0000FF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20"/>
      <color theme="1"/>
      <name val="Georgia"/>
      <family val="1"/>
    </font>
    <font>
      <i/>
      <sz val="11"/>
      <color rgb="FF0000FF"/>
      <name val="Arial"/>
      <family val="2"/>
    </font>
    <font>
      <u/>
      <sz val="11"/>
      <color theme="10"/>
      <name val="Calibri"/>
      <family val="2"/>
      <scheme val="minor"/>
    </font>
    <font>
      <i/>
      <u/>
      <sz val="11"/>
      <color theme="1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lightUp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2CC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3" tint="0.399945066682943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8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6" fillId="0" borderId="2" applyNumberFormat="0" applyFont="0" applyFill="0" applyAlignment="0" applyProtection="0"/>
    <xf numFmtId="167" fontId="6" fillId="0" borderId="2" applyFont="0" applyFill="0" applyBorder="0" applyAlignment="0" applyProtection="0"/>
    <xf numFmtId="165" fontId="6" fillId="0" borderId="2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5" applyFont="0" applyFill="0" applyBorder="0" applyAlignment="0" applyProtection="0"/>
    <xf numFmtId="170" fontId="6" fillId="0" borderId="5" applyFont="0" applyFill="0" applyBorder="0" applyAlignment="0" applyProtection="0"/>
    <xf numFmtId="171" fontId="6" fillId="0" borderId="5" applyFont="0" applyFill="0" applyBorder="0" applyAlignment="0" applyProtection="0"/>
    <xf numFmtId="0" fontId="6" fillId="0" borderId="6" applyNumberFormat="0" applyFont="0" applyFill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5" applyFont="0" applyFill="0" applyBorder="0" applyAlignment="0" applyProtection="0"/>
    <xf numFmtId="176" fontId="6" fillId="0" borderId="5" applyFont="0" applyFill="0" applyBorder="0" applyAlignment="0" applyProtection="0"/>
    <xf numFmtId="177" fontId="6" fillId="0" borderId="5" applyFont="0" applyFill="0" applyBorder="0" applyAlignment="0" applyProtection="0"/>
    <xf numFmtId="0" fontId="6" fillId="0" borderId="5" applyNumberFormat="0" applyFont="0" applyFill="0" applyAlignment="0" applyProtection="0"/>
    <xf numFmtId="180" fontId="6" fillId="0" borderId="7" applyFont="0" applyFill="0" applyBorder="0" applyProtection="0">
      <alignment horizontal="center"/>
    </xf>
    <xf numFmtId="178" fontId="6" fillId="0" borderId="7" applyFont="0" applyFill="0" applyBorder="0" applyProtection="0">
      <alignment horizontal="center"/>
    </xf>
    <xf numFmtId="179" fontId="6" fillId="0" borderId="7" applyFont="0" applyFill="0" applyBorder="0" applyProtection="0">
      <alignment horizontal="left"/>
    </xf>
    <xf numFmtId="0" fontId="6" fillId="0" borderId="7" applyNumberFormat="0" applyFont="0" applyFill="0" applyAlignment="0" applyProtection="0"/>
    <xf numFmtId="0" fontId="6" fillId="1" borderId="0" applyNumberFormat="0" applyFont="0" applyFill="0" applyBorder="0" applyProtection="0">
      <alignment horizontal="fill"/>
    </xf>
    <xf numFmtId="0" fontId="6" fillId="1" borderId="0" applyNumberFormat="0" applyFont="0" applyBorder="0" applyAlignment="0" applyProtection="0"/>
    <xf numFmtId="0" fontId="6" fillId="7" borderId="0" applyNumberFormat="0" applyFont="0" applyBorder="0" applyAlignment="0" applyProtection="0"/>
    <xf numFmtId="0" fontId="6" fillId="8" borderId="0" applyNumberFormat="0" applyFont="0" applyBorder="0" applyAlignment="0" applyProtection="0"/>
    <xf numFmtId="0" fontId="7" fillId="0" borderId="2" applyNumberFormat="0" applyFill="0" applyBorder="0" applyAlignment="0" applyProtection="0"/>
    <xf numFmtId="0" fontId="8" fillId="0" borderId="2" applyNumberFormat="0" applyFill="0" applyBorder="0" applyAlignment="0" applyProtection="0"/>
    <xf numFmtId="0" fontId="6" fillId="0" borderId="0" applyNumberFormat="0" applyFont="0" applyFill="0" applyBorder="0" applyProtection="0">
      <alignment textRotation="90"/>
    </xf>
    <xf numFmtId="0" fontId="6" fillId="0" borderId="7" applyNumberFormat="0" applyFont="0" applyFill="0" applyAlignment="0" applyProtection="0"/>
    <xf numFmtId="0" fontId="6" fillId="0" borderId="6" applyNumberFormat="0" applyFont="0" applyFill="0" applyAlignment="0" applyProtection="0"/>
    <xf numFmtId="0" fontId="6" fillId="0" borderId="2" applyNumberFormat="0" applyFont="0" applyFill="0" applyAlignment="0" applyProtection="0"/>
    <xf numFmtId="180" fontId="6" fillId="0" borderId="0" applyFont="0" applyFill="0" applyBorder="0" applyProtection="0">
      <alignment horizontal="center"/>
    </xf>
    <xf numFmtId="44" fontId="5" fillId="0" borderId="0" applyFont="0" applyFill="0" applyBorder="0" applyAlignment="0" applyProtection="0">
      <alignment vertical="center"/>
    </xf>
    <xf numFmtId="4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/>
    <xf numFmtId="3" fontId="6" fillId="0" borderId="0" applyFont="0" applyFill="0" applyBorder="0" applyAlignment="0" applyProtection="0">
      <alignment horizontal="center"/>
    </xf>
    <xf numFmtId="3" fontId="10" fillId="0" borderId="0" applyFont="0" applyFill="0" applyBorder="0" applyAlignment="0" applyProtection="0">
      <alignment horizontal="center"/>
    </xf>
    <xf numFmtId="3" fontId="10" fillId="0" borderId="0" applyFont="0" applyFill="0" applyBorder="0" applyAlignment="0" applyProtection="0">
      <alignment horizontal="center"/>
    </xf>
    <xf numFmtId="3" fontId="10" fillId="0" borderId="0" applyFont="0" applyFill="0" applyBorder="0" applyAlignment="0" applyProtection="0">
      <alignment horizontal="center"/>
    </xf>
    <xf numFmtId="3" fontId="10" fillId="0" borderId="0" applyFont="0" applyFill="0" applyBorder="0" applyAlignment="0" applyProtection="0">
      <alignment horizontal="center"/>
    </xf>
    <xf numFmtId="168" fontId="10" fillId="0" borderId="0" applyFont="0" applyFill="0" applyBorder="0" applyAlignment="0" applyProtection="0">
      <alignment horizontal="center"/>
    </xf>
    <xf numFmtId="168" fontId="10" fillId="0" borderId="0" applyFont="0" applyFill="0" applyBorder="0" applyAlignment="0" applyProtection="0">
      <alignment horizontal="center"/>
    </xf>
    <xf numFmtId="168" fontId="6" fillId="0" borderId="0" applyFont="0" applyFill="0" applyBorder="0" applyAlignment="0" applyProtection="0">
      <alignment horizontal="center"/>
    </xf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>
      <alignment horizontal="center"/>
    </xf>
    <xf numFmtId="168" fontId="6" fillId="0" borderId="0" applyFont="0" applyFill="0" applyBorder="0" applyAlignment="0" applyProtection="0">
      <alignment horizontal="center"/>
    </xf>
    <xf numFmtId="182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" fontId="10" fillId="0" borderId="0" applyFont="0" applyFill="0" applyBorder="0" applyAlignment="0" applyProtection="0">
      <alignment horizontal="center"/>
    </xf>
    <xf numFmtId="1" fontId="6" fillId="0" borderId="0" applyFont="0" applyFill="0" applyBorder="0" applyAlignment="0" applyProtection="0"/>
    <xf numFmtId="1" fontId="6" fillId="0" borderId="0" applyFont="0" applyFill="0" applyBorder="0" applyAlignment="0" applyProtection="0">
      <alignment horizontal="center"/>
    </xf>
    <xf numFmtId="184" fontId="6" fillId="0" borderId="0" applyFont="0" applyFill="0" applyBorder="0" applyAlignment="0" applyProtection="0">
      <alignment horizontal="center"/>
    </xf>
    <xf numFmtId="184" fontId="10" fillId="0" borderId="0" applyFont="0" applyFill="0" applyBorder="0" applyAlignment="0" applyProtection="0">
      <alignment horizontal="center"/>
    </xf>
    <xf numFmtId="10" fontId="6" fillId="0" borderId="0" applyFont="0" applyFill="0" applyBorder="0" applyAlignment="0" applyProtection="0">
      <alignment horizontal="center"/>
    </xf>
    <xf numFmtId="10" fontId="10" fillId="0" borderId="0" applyFont="0" applyFill="0" applyBorder="0" applyAlignment="0" applyProtection="0">
      <alignment horizontal="center"/>
    </xf>
    <xf numFmtId="1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180" fontId="10" fillId="0" borderId="7" applyFont="0" applyFill="0" applyBorder="0" applyProtection="0">
      <alignment horizontal="center"/>
    </xf>
    <xf numFmtId="3" fontId="4" fillId="0" borderId="0"/>
    <xf numFmtId="0" fontId="6" fillId="1" borderId="0" applyNumberFormat="0" applyFont="0" applyFill="0" applyBorder="0" applyProtection="0">
      <alignment horizontal="fill"/>
    </xf>
    <xf numFmtId="0" fontId="6" fillId="1" borderId="0" applyNumberFormat="0" applyFont="0" applyBorder="0" applyAlignment="0" applyProtection="0"/>
    <xf numFmtId="0" fontId="6" fillId="7" borderId="0" applyNumberFormat="0" applyFont="0" applyBorder="0" applyAlignment="0" applyProtection="0"/>
    <xf numFmtId="0" fontId="6" fillId="8" borderId="0" applyNumberFormat="0" applyFont="0" applyBorder="0" applyAlignment="0" applyProtection="0"/>
    <xf numFmtId="0" fontId="7" fillId="0" borderId="2" applyNumberFormat="0" applyFill="0" applyBorder="0" applyAlignment="0" applyProtection="0"/>
    <xf numFmtId="0" fontId="8" fillId="0" borderId="2" applyNumberFormat="0" applyFill="0" applyBorder="0" applyAlignment="0" applyProtection="0"/>
    <xf numFmtId="0" fontId="6" fillId="0" borderId="0" applyNumberFormat="0" applyFont="0" applyFill="0" applyBorder="0" applyProtection="0">
      <alignment textRotation="90"/>
    </xf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6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8" fillId="0" borderId="9" applyNumberFormat="0" applyFill="0" applyAlignment="0" applyProtection="0"/>
    <xf numFmtId="0" fontId="19" fillId="28" borderId="10" applyNumberFormat="0" applyAlignment="0" applyProtection="0"/>
    <xf numFmtId="0" fontId="5" fillId="29" borderId="11" applyNumberFormat="0" applyFont="0" applyAlignment="0" applyProtection="0"/>
    <xf numFmtId="0" fontId="6" fillId="0" borderId="7" applyNumberFormat="0" applyFont="0" applyFill="0" applyAlignment="0" applyProtection="0"/>
    <xf numFmtId="0" fontId="6" fillId="0" borderId="6" applyNumberFormat="0" applyFont="0" applyFill="0" applyAlignment="0" applyProtection="0"/>
    <xf numFmtId="0" fontId="6" fillId="0" borderId="2" applyNumberFormat="0" applyFont="0" applyFill="0" applyAlignment="0" applyProtection="0"/>
    <xf numFmtId="14" fontId="20" fillId="0" borderId="0" applyFont="0" applyFill="0" applyBorder="0" applyProtection="0">
      <alignment horizontal="center" vertical="center"/>
    </xf>
    <xf numFmtId="180" fontId="6" fillId="0" borderId="0" applyFont="0" applyFill="0" applyBorder="0" applyProtection="0">
      <alignment horizontal="center"/>
    </xf>
    <xf numFmtId="180" fontId="10" fillId="0" borderId="0" applyFont="0" applyFill="0" applyBorder="0" applyProtection="0">
      <alignment horizontal="center"/>
    </xf>
    <xf numFmtId="194" fontId="20" fillId="0" borderId="0" applyFont="0" applyFill="0" applyBorder="0" applyAlignment="0" applyProtection="0">
      <alignment horizontal="center"/>
    </xf>
    <xf numFmtId="0" fontId="21" fillId="14" borderId="8" applyNumberFormat="0" applyAlignment="0" applyProtection="0"/>
    <xf numFmtId="44" fontId="4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11" borderId="0" applyNumberFormat="0" applyBorder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1" fillId="14" borderId="8" applyNumberFormat="0" applyAlignment="0" applyProtection="0"/>
    <xf numFmtId="0" fontId="16" fillId="10" borderId="0" applyNumberFormat="0" applyBorder="0" applyAlignment="0" applyProtection="0"/>
    <xf numFmtId="197" fontId="20" fillId="0" borderId="0" applyFont="0" applyFill="0" applyBorder="0" applyAlignment="0" applyProtection="0">
      <alignment vertical="center"/>
    </xf>
    <xf numFmtId="198" fontId="2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8" fillId="0" borderId="9" applyNumberFormat="0" applyFill="0" applyAlignment="0" applyProtection="0"/>
    <xf numFmtId="43" fontId="5" fillId="0" borderId="0" applyFont="0" applyFill="0" applyBorder="0" applyAlignment="0" applyProtection="0"/>
    <xf numFmtId="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7" fontId="11" fillId="0" borderId="0" applyFont="0" applyFill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5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199" fontId="20" fillId="0" borderId="0" applyFont="0" applyFill="0" applyBorder="0" applyAlignment="0" applyProtection="0">
      <alignment horizontal="center" vertical="top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191" fontId="12" fillId="0" borderId="0" applyNumberFormat="0" applyFont="0" applyFill="0" applyBorder="0" applyProtection="0">
      <alignment horizontal="fill"/>
    </xf>
    <xf numFmtId="0" fontId="12" fillId="0" borderId="0" applyNumberFormat="0" applyFont="0" applyFill="0" applyBorder="0" applyProtection="0">
      <alignment wrapText="1"/>
    </xf>
    <xf numFmtId="0" fontId="23" fillId="11" borderId="0" applyNumberFormat="0" applyBorder="0" applyAlignment="0" applyProtection="0"/>
    <xf numFmtId="0" fontId="32" fillId="27" borderId="15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19" fillId="28" borderId="10" applyNumberFormat="0" applyAlignment="0" applyProtection="0"/>
    <xf numFmtId="0" fontId="15" fillId="0" borderId="0" applyNumberForma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3" fontId="4" fillId="0" borderId="0" applyBorder="0"/>
    <xf numFmtId="0" fontId="37" fillId="31" borderId="0"/>
    <xf numFmtId="0" fontId="38" fillId="0" borderId="0" applyNumberFormat="0" applyFill="0" applyBorder="0" applyAlignment="0"/>
    <xf numFmtId="3" fontId="5" fillId="0" borderId="2" applyFill="0" applyProtection="0">
      <alignment vertical="center" wrapText="1"/>
    </xf>
    <xf numFmtId="0" fontId="39" fillId="0" borderId="0"/>
    <xf numFmtId="0" fontId="40" fillId="0" borderId="0" applyNumberFormat="0"/>
    <xf numFmtId="0" fontId="5" fillId="0" borderId="0" applyFont="0" applyFill="0" applyBorder="0" applyAlignment="0" applyProtection="0"/>
    <xf numFmtId="3" fontId="5" fillId="32" borderId="0" applyFont="0" applyFill="0" applyBorder="0" applyAlignment="0" applyProtection="0"/>
    <xf numFmtId="200" fontId="41" fillId="0" borderId="0" applyFont="0" applyFill="0" applyBorder="0">
      <alignment horizontal="right"/>
      <protection locked="0"/>
    </xf>
    <xf numFmtId="201" fontId="4" fillId="0" borderId="0">
      <alignment horizontal="center"/>
    </xf>
    <xf numFmtId="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202" fontId="5" fillId="32" borderId="0" applyFont="0" applyFill="0" applyBorder="0" applyAlignment="0" applyProtection="0"/>
    <xf numFmtId="0" fontId="5" fillId="27" borderId="17">
      <alignment horizontal="center"/>
    </xf>
    <xf numFmtId="14" fontId="41" fillId="33" borderId="0" applyFont="0" applyBorder="0" applyAlignment="0">
      <alignment vertical="top"/>
    </xf>
    <xf numFmtId="203" fontId="41" fillId="33" borderId="0" applyFont="0" applyBorder="0" applyAlignment="0">
      <alignment vertical="top"/>
    </xf>
    <xf numFmtId="14" fontId="41" fillId="0" borderId="0" applyFont="0" applyFill="0" applyBorder="0" applyProtection="0">
      <alignment horizontal="center"/>
      <protection locked="0"/>
    </xf>
    <xf numFmtId="14" fontId="5" fillId="0" borderId="0" applyFill="0" applyBorder="0" applyProtection="0">
      <alignment vertical="center" wrapText="1"/>
    </xf>
    <xf numFmtId="204" fontId="42" fillId="0" borderId="0" applyFill="0" applyBorder="0">
      <alignment horizontal="right"/>
    </xf>
    <xf numFmtId="0" fontId="42" fillId="0" borderId="3" applyBorder="0"/>
    <xf numFmtId="0" fontId="43" fillId="0" borderId="18" applyNumberFormat="0" applyFont="0" applyAlignment="0">
      <alignment horizontal="left"/>
    </xf>
    <xf numFmtId="0" fontId="44" fillId="0" borderId="0" applyNumberFormat="0" applyFont="0" applyFill="0" applyBorder="0" applyAlignment="0">
      <alignment horizontal="left" vertical="top"/>
    </xf>
    <xf numFmtId="2" fontId="5" fillId="32" borderId="0" applyFont="0" applyFill="0" applyBorder="0" applyAlignment="0" applyProtection="0"/>
    <xf numFmtId="38" fontId="42" fillId="34" borderId="0" applyNumberFormat="0" applyBorder="0" applyAlignment="0" applyProtection="0"/>
    <xf numFmtId="205" fontId="42" fillId="0" borderId="0" applyFill="0" applyBorder="0">
      <alignment horizontal="right"/>
      <protection locked="0"/>
    </xf>
    <xf numFmtId="0" fontId="42" fillId="0" borderId="0" applyFill="0" applyBorder="0">
      <alignment horizontal="right"/>
      <protection locked="0"/>
    </xf>
    <xf numFmtId="0" fontId="42" fillId="0" borderId="0" applyFill="0" applyBorder="0">
      <alignment horizontal="right"/>
      <protection locked="0"/>
    </xf>
    <xf numFmtId="0" fontId="42" fillId="0" borderId="0" applyFill="0" applyBorder="0">
      <alignment horizontal="right"/>
      <protection locked="0"/>
    </xf>
    <xf numFmtId="205" fontId="42" fillId="0" borderId="0" applyFill="0" applyBorder="0">
      <alignment horizontal="right"/>
      <protection locked="0"/>
    </xf>
    <xf numFmtId="205" fontId="42" fillId="0" borderId="0" applyFill="0" applyBorder="0">
      <alignment horizontal="right"/>
      <protection locked="0"/>
    </xf>
    <xf numFmtId="205" fontId="42" fillId="0" borderId="0" applyFill="0" applyBorder="0">
      <alignment horizontal="right"/>
      <protection locked="0"/>
    </xf>
    <xf numFmtId="205" fontId="42" fillId="0" borderId="0" applyFill="0" applyBorder="0">
      <alignment horizontal="right"/>
      <protection locked="0"/>
    </xf>
    <xf numFmtId="0" fontId="42" fillId="0" borderId="0" applyFill="0" applyBorder="0">
      <alignment horizontal="right"/>
      <protection locked="0"/>
    </xf>
    <xf numFmtId="0" fontId="42" fillId="0" borderId="0" applyFill="0" applyBorder="0">
      <alignment horizontal="right"/>
      <protection locked="0"/>
    </xf>
    <xf numFmtId="0" fontId="42" fillId="0" borderId="0" applyFill="0" applyBorder="0">
      <alignment horizontal="right"/>
      <protection locked="0"/>
    </xf>
    <xf numFmtId="0" fontId="42" fillId="0" borderId="0" applyFill="0" applyBorder="0">
      <alignment horizontal="right"/>
      <protection locked="0"/>
    </xf>
    <xf numFmtId="0" fontId="45" fillId="0" borderId="0">
      <alignment horizontal="left"/>
    </xf>
    <xf numFmtId="10" fontId="42" fillId="34" borderId="2" applyNumberFormat="0" applyBorder="0" applyAlignment="0" applyProtection="0"/>
    <xf numFmtId="0" fontId="46" fillId="35" borderId="0"/>
    <xf numFmtId="206" fontId="5" fillId="0" borderId="0" applyFont="0" applyFill="0" applyBorder="0" applyAlignment="0" applyProtection="0"/>
    <xf numFmtId="0" fontId="47" fillId="0" borderId="19"/>
    <xf numFmtId="3" fontId="5" fillId="0" borderId="0" applyFont="0" applyFill="0" applyBorder="0" applyAlignment="0" applyProtection="0"/>
    <xf numFmtId="0" fontId="41" fillId="33" borderId="0" applyNumberFormat="0" applyFont="0" applyBorder="0" applyAlignment="0">
      <alignment vertical="top"/>
    </xf>
    <xf numFmtId="207" fontId="48" fillId="0" borderId="0"/>
    <xf numFmtId="0" fontId="49" fillId="34" borderId="0">
      <alignment horizontal="right"/>
    </xf>
    <xf numFmtId="0" fontId="50" fillId="36" borderId="4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208" fontId="42" fillId="0" borderId="0" applyFont="0" applyFill="0" applyBorder="0">
      <alignment horizontal="right"/>
      <protection locked="0"/>
    </xf>
    <xf numFmtId="4" fontId="49" fillId="37" borderId="20" applyNumberFormat="0" applyProtection="0">
      <alignment horizontal="left" vertical="center" indent="1"/>
    </xf>
    <xf numFmtId="209" fontId="51" fillId="0" borderId="0"/>
    <xf numFmtId="0" fontId="37" fillId="31" borderId="0"/>
    <xf numFmtId="0" fontId="37" fillId="31" borderId="0"/>
    <xf numFmtId="0" fontId="47" fillId="0" borderId="0"/>
    <xf numFmtId="0" fontId="38" fillId="0" borderId="21" applyBorder="0"/>
    <xf numFmtId="0" fontId="52" fillId="0" borderId="22" applyBorder="0"/>
    <xf numFmtId="0" fontId="53" fillId="0" borderId="23" applyBorder="0"/>
    <xf numFmtId="3" fontId="5" fillId="0" borderId="0" applyFont="0" applyFill="0" applyBorder="0" applyAlignment="0" applyProtection="0"/>
    <xf numFmtId="210" fontId="5" fillId="0" borderId="0" applyFont="0" applyFill="0" applyBorder="0" applyAlignment="0" applyProtection="0"/>
    <xf numFmtId="211" fontId="5" fillId="0" borderId="0" applyFont="0" applyFill="0" applyBorder="0" applyAlignment="0" applyProtection="0"/>
    <xf numFmtId="0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5" fillId="0" borderId="0"/>
    <xf numFmtId="0" fontId="4" fillId="0" borderId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167" fontId="6" fillId="0" borderId="2" applyFont="0" applyFill="0" applyBorder="0" applyAlignment="0" applyProtection="0"/>
    <xf numFmtId="165" fontId="6" fillId="0" borderId="2" applyFont="0" applyFill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0" borderId="0" applyNumberFormat="0" applyBorder="0" applyAlignment="0" applyProtection="0"/>
    <xf numFmtId="0" fontId="15" fillId="0" borderId="0" applyNumberFormat="0" applyFill="0" applyBorder="0" applyAlignment="0" applyProtection="0"/>
    <xf numFmtId="3" fontId="5" fillId="0" borderId="2" applyFill="0" applyProtection="0">
      <alignment vertical="center" wrapText="1"/>
    </xf>
    <xf numFmtId="0" fontId="17" fillId="27" borderId="8" applyNumberFormat="0" applyAlignment="0" applyProtection="0"/>
    <xf numFmtId="0" fontId="4" fillId="0" borderId="0" applyNumberFormat="0" applyFont="0" applyFill="0" applyBorder="0" applyProtection="0">
      <alignment horizontal="center" vertical="center" wrapText="1"/>
    </xf>
    <xf numFmtId="0" fontId="5" fillId="0" borderId="0" applyFont="0" applyFill="0" applyBorder="0" applyAlignment="0" applyProtection="0"/>
    <xf numFmtId="3" fontId="5" fillId="32" borderId="0" applyFont="0" applyFill="0" applyBorder="0" applyAlignment="0" applyProtection="0"/>
    <xf numFmtId="0" fontId="1" fillId="4" borderId="1" applyNumberFormat="0" applyFont="0" applyAlignment="0" applyProtection="0"/>
    <xf numFmtId="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202" fontId="5" fillId="32" borderId="0" applyFont="0" applyFill="0" applyBorder="0" applyAlignment="0" applyProtection="0"/>
    <xf numFmtId="0" fontId="21" fillId="14" borderId="8" applyNumberFormat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2" fontId="5" fillId="32" borderId="0" applyFont="0" applyFill="0" applyBorder="0" applyAlignment="0" applyProtection="0"/>
    <xf numFmtId="0" fontId="16" fillId="1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4" fillId="0" borderId="0"/>
    <xf numFmtId="0" fontId="5" fillId="29" borderId="11" applyNumberFormat="0" applyFont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2" fillId="27" borderId="15" applyNumberFormat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36" fillId="0" borderId="16" applyNumberFormat="0" applyFill="0" applyAlignment="0" applyProtection="0"/>
    <xf numFmtId="3" fontId="5" fillId="0" borderId="0" applyFont="0" applyFill="0" applyBorder="0" applyAlignment="0" applyProtection="0"/>
    <xf numFmtId="3" fontId="5" fillId="0" borderId="2" applyFill="0" applyProtection="0">
      <alignment vertical="center" wrapText="1"/>
    </xf>
    <xf numFmtId="3" fontId="5" fillId="0" borderId="2" applyFill="0" applyProtection="0">
      <alignment vertical="center" wrapText="1"/>
    </xf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42" fillId="0" borderId="3" applyBorder="0"/>
    <xf numFmtId="0" fontId="42" fillId="0" borderId="3" applyBorder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10" fontId="42" fillId="34" borderId="24" applyNumberFormat="0" applyBorder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43" fontId="1" fillId="0" borderId="0" applyFont="0" applyFill="0" applyBorder="0" applyAlignment="0" applyProtection="0"/>
    <xf numFmtId="0" fontId="17" fillId="27" borderId="8" applyNumberForma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1" fillId="14" borderId="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3" fillId="0" borderId="0"/>
    <xf numFmtId="0" fontId="13" fillId="0" borderId="0"/>
    <xf numFmtId="0" fontId="13" fillId="0" borderId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4" fontId="49" fillId="37" borderId="20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0" fontId="21" fillId="14" borderId="8" applyNumberFormat="0" applyAlignment="0" applyProtection="0"/>
    <xf numFmtId="165" fontId="6" fillId="0" borderId="24" applyFont="0" applyFill="0" applyBorder="0" applyAlignment="0" applyProtection="0"/>
    <xf numFmtId="0" fontId="17" fillId="27" borderId="8" applyNumberFormat="0" applyAlignment="0" applyProtection="0"/>
    <xf numFmtId="0" fontId="32" fillId="27" borderId="15" applyNumberFormat="0" applyAlignment="0" applyProtection="0"/>
    <xf numFmtId="0" fontId="5" fillId="29" borderId="11" applyNumberFormat="0" applyFont="0" applyAlignment="0" applyProtection="0"/>
    <xf numFmtId="3" fontId="5" fillId="0" borderId="24" applyFill="0" applyProtection="0">
      <alignment vertical="center" wrapText="1"/>
    </xf>
    <xf numFmtId="4" fontId="49" fillId="37" borderId="20" applyNumberFormat="0" applyProtection="0">
      <alignment horizontal="left" vertical="center" indent="1"/>
    </xf>
    <xf numFmtId="0" fontId="17" fillId="27" borderId="8" applyNumberFormat="0" applyAlignment="0" applyProtection="0"/>
    <xf numFmtId="0" fontId="17" fillId="27" borderId="8" applyNumberForma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6" fillId="0" borderId="24" applyNumberFormat="0" applyFont="0" applyFill="0" applyAlignment="0" applyProtection="0"/>
    <xf numFmtId="0" fontId="8" fillId="0" borderId="24" applyNumberFormat="0" applyFill="0" applyBorder="0" applyAlignment="0" applyProtection="0"/>
    <xf numFmtId="0" fontId="7" fillId="0" borderId="24" applyNumberFormat="0" applyFill="0" applyBorder="0" applyAlignment="0" applyProtection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0" fontId="6" fillId="0" borderId="24" applyNumberFormat="0" applyFont="0" applyFill="0" applyAlignment="0" applyProtection="0"/>
    <xf numFmtId="0" fontId="8" fillId="0" borderId="24" applyNumberFormat="0" applyFill="0" applyBorder="0" applyAlignment="0" applyProtection="0"/>
    <xf numFmtId="0" fontId="7" fillId="0" borderId="24" applyNumberFormat="0" applyFill="0" applyBorder="0" applyAlignment="0" applyProtection="0"/>
    <xf numFmtId="0" fontId="32" fillId="27" borderId="15" applyNumberFormat="0" applyAlignment="0" applyProtection="0"/>
    <xf numFmtId="167" fontId="6" fillId="0" borderId="24" applyFont="0" applyFill="0" applyBorder="0" applyAlignment="0" applyProtection="0"/>
    <xf numFmtId="0" fontId="36" fillId="0" borderId="16" applyNumberFormat="0" applyFill="0" applyAlignment="0" applyProtection="0"/>
    <xf numFmtId="0" fontId="21" fillId="14" borderId="8" applyNumberFormat="0" applyAlignment="0" applyProtection="0"/>
    <xf numFmtId="0" fontId="5" fillId="29" borderId="11" applyNumberFormat="0" applyFont="0" applyAlignment="0" applyProtection="0"/>
    <xf numFmtId="4" fontId="49" fillId="37" borderId="20" applyNumberFormat="0" applyProtection="0">
      <alignment horizontal="left" vertical="center" indent="1"/>
    </xf>
    <xf numFmtId="0" fontId="17" fillId="27" borderId="8" applyNumberFormat="0" applyAlignment="0" applyProtection="0"/>
    <xf numFmtId="167" fontId="6" fillId="0" borderId="24" applyFont="0" applyFill="0" applyBorder="0" applyAlignment="0" applyProtection="0"/>
    <xf numFmtId="3" fontId="5" fillId="0" borderId="24" applyFill="0" applyProtection="0">
      <alignment vertical="center" wrapText="1"/>
    </xf>
    <xf numFmtId="0" fontId="36" fillId="0" borderId="16" applyNumberFormat="0" applyFill="0" applyAlignment="0" applyProtection="0"/>
    <xf numFmtId="0" fontId="32" fillId="27" borderId="15" applyNumberFormat="0" applyAlignment="0" applyProtection="0"/>
    <xf numFmtId="0" fontId="17" fillId="27" borderId="8" applyNumberFormat="0" applyAlignment="0" applyProtection="0"/>
    <xf numFmtId="0" fontId="32" fillId="27" borderId="15" applyNumberFormat="0" applyAlignment="0" applyProtection="0"/>
    <xf numFmtId="0" fontId="21" fillId="14" borderId="8" applyNumberFormat="0" applyAlignment="0" applyProtection="0"/>
    <xf numFmtId="0" fontId="17" fillId="27" borderId="8" applyNumberFormat="0" applyAlignment="0" applyProtection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165" fontId="6" fillId="0" borderId="24" applyFont="0" applyFill="0" applyBorder="0" applyAlignment="0" applyProtection="0"/>
    <xf numFmtId="0" fontId="36" fillId="0" borderId="16" applyNumberFormat="0" applyFill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10" fontId="42" fillId="34" borderId="24" applyNumberFormat="0" applyBorder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17" fillId="27" borderId="8" applyNumberFormat="0" applyAlignment="0" applyProtection="0"/>
    <xf numFmtId="0" fontId="21" fillId="14" borderId="8" applyNumberFormat="0" applyAlignment="0" applyProtection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4" fontId="49" fillId="37" borderId="20" applyNumberFormat="0" applyProtection="0">
      <alignment horizontal="left" vertical="center" indent="1"/>
    </xf>
    <xf numFmtId="0" fontId="36" fillId="0" borderId="16" applyNumberFormat="0" applyFill="0" applyAlignment="0" applyProtection="0"/>
    <xf numFmtId="3" fontId="5" fillId="0" borderId="24" applyFill="0" applyProtection="0">
      <alignment vertical="center" wrapText="1"/>
    </xf>
    <xf numFmtId="3" fontId="5" fillId="0" borderId="24" applyFill="0" applyProtection="0">
      <alignment vertical="center" wrapText="1"/>
    </xf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10" fontId="42" fillId="34" borderId="24" applyNumberFormat="0" applyBorder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17" fillId="27" borderId="8" applyNumberFormat="0" applyAlignment="0" applyProtection="0"/>
    <xf numFmtId="0" fontId="21" fillId="14" borderId="8" applyNumberFormat="0" applyAlignment="0" applyProtection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4" fontId="49" fillId="37" borderId="20" applyNumberFormat="0" applyProtection="0">
      <alignment horizontal="left" vertical="center" indent="1"/>
    </xf>
    <xf numFmtId="0" fontId="56" fillId="0" borderId="0"/>
    <xf numFmtId="9" fontId="56" fillId="0" borderId="0" applyFont="0" applyFill="0" applyBorder="0" applyAlignment="0" applyProtection="0"/>
    <xf numFmtId="0" fontId="56" fillId="0" borderId="0"/>
    <xf numFmtId="9" fontId="56" fillId="0" borderId="0" applyFont="0" applyFill="0" applyBorder="0" applyAlignment="0" applyProtection="0"/>
    <xf numFmtId="0" fontId="57" fillId="0" borderId="0"/>
    <xf numFmtId="44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212" fontId="3" fillId="38" borderId="25" applyAlignment="0" applyProtection="0"/>
    <xf numFmtId="0" fontId="2" fillId="0" borderId="0"/>
    <xf numFmtId="0" fontId="59" fillId="2" borderId="0" applyNumberFormat="0" applyBorder="0" applyAlignment="0" applyProtection="0"/>
    <xf numFmtId="0" fontId="60" fillId="3" borderId="0" applyNumberFormat="0" applyBorder="0" applyAlignment="0" applyProtection="0"/>
    <xf numFmtId="0" fontId="2" fillId="6" borderId="0" applyNumberFormat="0" applyBorder="0" applyAlignment="0" applyProtection="0"/>
    <xf numFmtId="9" fontId="2" fillId="0" borderId="0" applyFont="0" applyFill="0" applyBorder="0" applyAlignment="0" applyProtection="0"/>
    <xf numFmtId="0" fontId="2" fillId="5" borderId="0" applyNumberFormat="0" applyBorder="0" applyAlignment="0" applyProtection="0"/>
    <xf numFmtId="43" fontId="1" fillId="0" borderId="0" applyFont="0" applyFill="0" applyBorder="0" applyAlignment="0" applyProtection="0"/>
    <xf numFmtId="0" fontId="61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213" fontId="61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/>
  </cellStyleXfs>
  <cellXfs count="82">
    <xf numFmtId="0" fontId="0" fillId="0" borderId="0" xfId="0"/>
    <xf numFmtId="215" fontId="58" fillId="0" borderId="28" xfId="0" applyNumberFormat="1" applyFont="1" applyBorder="1"/>
    <xf numFmtId="0" fontId="64" fillId="41" borderId="34" xfId="0" applyFont="1" applyFill="1" applyBorder="1"/>
    <xf numFmtId="0" fontId="65" fillId="0" borderId="26" xfId="0" applyFont="1" applyBorder="1"/>
    <xf numFmtId="215" fontId="58" fillId="0" borderId="0" xfId="0" applyNumberFormat="1" applyFont="1"/>
    <xf numFmtId="215" fontId="58" fillId="42" borderId="29" xfId="0" applyNumberFormat="1" applyFont="1" applyFill="1" applyBorder="1"/>
    <xf numFmtId="215" fontId="64" fillId="41" borderId="2" xfId="0" applyNumberFormat="1" applyFont="1" applyFill="1" applyBorder="1"/>
    <xf numFmtId="215" fontId="66" fillId="42" borderId="31" xfId="0" applyNumberFormat="1" applyFont="1" applyFill="1" applyBorder="1"/>
    <xf numFmtId="215" fontId="64" fillId="39" borderId="0" xfId="0" applyNumberFormat="1" applyFont="1" applyFill="1"/>
    <xf numFmtId="215" fontId="65" fillId="42" borderId="0" xfId="0" applyNumberFormat="1" applyFont="1" applyFill="1"/>
    <xf numFmtId="166" fontId="58" fillId="0" borderId="0" xfId="2" applyNumberFormat="1" applyFont="1"/>
    <xf numFmtId="214" fontId="64" fillId="41" borderId="26" xfId="0" applyNumberFormat="1" applyFont="1" applyFill="1" applyBorder="1"/>
    <xf numFmtId="214" fontId="58" fillId="39" borderId="0" xfId="0" applyNumberFormat="1" applyFont="1" applyFill="1"/>
    <xf numFmtId="215" fontId="58" fillId="42" borderId="31" xfId="0" applyNumberFormat="1" applyFont="1" applyFill="1" applyBorder="1"/>
    <xf numFmtId="0" fontId="64" fillId="41" borderId="2" xfId="0" applyFont="1" applyFill="1" applyBorder="1"/>
    <xf numFmtId="0" fontId="58" fillId="42" borderId="4" xfId="2" applyNumberFormat="1" applyFont="1" applyFill="1" applyBorder="1" applyAlignment="1">
      <alignment horizontal="right"/>
    </xf>
    <xf numFmtId="9" fontId="64" fillId="41" borderId="2" xfId="2" applyFont="1" applyFill="1" applyBorder="1"/>
    <xf numFmtId="215" fontId="58" fillId="40" borderId="0" xfId="0" applyNumberFormat="1" applyFont="1" applyFill="1"/>
    <xf numFmtId="214" fontId="64" fillId="41" borderId="0" xfId="0" applyNumberFormat="1" applyFont="1" applyFill="1"/>
    <xf numFmtId="215" fontId="58" fillId="0" borderId="0" xfId="0" applyNumberFormat="1" applyFont="1" applyAlignment="1">
      <alignment horizontal="left" indent="1"/>
    </xf>
    <xf numFmtId="214" fontId="58" fillId="42" borderId="0" xfId="0" applyNumberFormat="1" applyFont="1" applyFill="1"/>
    <xf numFmtId="215" fontId="67" fillId="0" borderId="26" xfId="0" applyNumberFormat="1" applyFont="1" applyBorder="1"/>
    <xf numFmtId="214" fontId="58" fillId="0" borderId="0" xfId="0" applyNumberFormat="1" applyFont="1"/>
    <xf numFmtId="214" fontId="58" fillId="42" borderId="27" xfId="0" applyNumberFormat="1" applyFont="1" applyFill="1" applyBorder="1"/>
    <xf numFmtId="0" fontId="64" fillId="41" borderId="2" xfId="1" applyNumberFormat="1" applyFont="1" applyFill="1" applyBorder="1"/>
    <xf numFmtId="215" fontId="58" fillId="42" borderId="0" xfId="0" applyNumberFormat="1" applyFont="1" applyFill="1"/>
    <xf numFmtId="215" fontId="64" fillId="39" borderId="26" xfId="0" applyNumberFormat="1" applyFont="1" applyFill="1" applyBorder="1"/>
    <xf numFmtId="215" fontId="58" fillId="0" borderId="26" xfId="0" applyNumberFormat="1" applyFont="1" applyBorder="1"/>
    <xf numFmtId="215" fontId="58" fillId="42" borderId="27" xfId="0" applyNumberFormat="1" applyFont="1" applyFill="1" applyBorder="1"/>
    <xf numFmtId="215" fontId="68" fillId="0" borderId="26" xfId="0" applyNumberFormat="1" applyFont="1" applyBorder="1" applyAlignment="1">
      <alignment horizontal="left"/>
    </xf>
    <xf numFmtId="215" fontId="63" fillId="40" borderId="0" xfId="0" applyNumberFormat="1" applyFont="1" applyFill="1"/>
    <xf numFmtId="215" fontId="65" fillId="0" borderId="0" xfId="0" applyNumberFormat="1" applyFont="1"/>
    <xf numFmtId="215" fontId="69" fillId="41" borderId="2" xfId="0" applyNumberFormat="1" applyFont="1" applyFill="1" applyBorder="1"/>
    <xf numFmtId="0" fontId="58" fillId="0" borderId="0" xfId="0" applyFont="1"/>
    <xf numFmtId="166" fontId="58" fillId="42" borderId="30" xfId="2" applyNumberFormat="1" applyFont="1" applyFill="1" applyBorder="1" applyAlignment="1">
      <alignment horizontal="right"/>
    </xf>
    <xf numFmtId="214" fontId="66" fillId="42" borderId="4" xfId="0" applyNumberFormat="1" applyFont="1" applyFill="1" applyBorder="1" applyAlignment="1">
      <alignment horizontal="right"/>
    </xf>
    <xf numFmtId="215" fontId="58" fillId="42" borderId="4" xfId="0" applyNumberFormat="1" applyFont="1" applyFill="1" applyBorder="1" applyAlignment="1">
      <alignment horizontal="right"/>
    </xf>
    <xf numFmtId="215" fontId="58" fillId="0" borderId="0" xfId="0" applyNumberFormat="1" applyFont="1" applyAlignment="1">
      <alignment horizontal="left"/>
    </xf>
    <xf numFmtId="9" fontId="58" fillId="0" borderId="0" xfId="2" applyFont="1" applyAlignment="1">
      <alignment horizontal="left" indent="8"/>
    </xf>
    <xf numFmtId="10" fontId="58" fillId="0" borderId="0" xfId="2" applyNumberFormat="1" applyFont="1" applyAlignment="1">
      <alignment horizontal="left" indent="7"/>
    </xf>
    <xf numFmtId="215" fontId="65" fillId="42" borderId="31" xfId="0" applyNumberFormat="1" applyFont="1" applyFill="1" applyBorder="1"/>
    <xf numFmtId="217" fontId="58" fillId="42" borderId="4" xfId="1" applyNumberFormat="1" applyFont="1" applyFill="1" applyBorder="1" applyAlignment="1">
      <alignment horizontal="right"/>
    </xf>
    <xf numFmtId="215" fontId="58" fillId="42" borderId="32" xfId="0" applyNumberFormat="1" applyFont="1" applyFill="1" applyBorder="1"/>
    <xf numFmtId="0" fontId="58" fillId="42" borderId="33" xfId="2" applyNumberFormat="1" applyFont="1" applyFill="1" applyBorder="1" applyAlignment="1">
      <alignment horizontal="right"/>
    </xf>
    <xf numFmtId="215" fontId="71" fillId="0" borderId="26" xfId="783" applyNumberFormat="1" applyFont="1" applyBorder="1"/>
    <xf numFmtId="214" fontId="58" fillId="0" borderId="0" xfId="0" applyNumberFormat="1" applyFont="1" applyAlignment="1">
      <alignment horizontal="left"/>
    </xf>
    <xf numFmtId="166" fontId="58" fillId="39" borderId="34" xfId="2" applyNumberFormat="1" applyFont="1" applyFill="1" applyBorder="1" applyAlignment="1">
      <alignment horizontal="right"/>
    </xf>
    <xf numFmtId="0" fontId="58" fillId="39" borderId="2" xfId="0" applyFont="1" applyFill="1" applyBorder="1" applyAlignment="1">
      <alignment horizontal="right"/>
    </xf>
    <xf numFmtId="216" fontId="66" fillId="42" borderId="4" xfId="1" applyNumberFormat="1" applyFont="1" applyFill="1" applyBorder="1" applyAlignment="1">
      <alignment horizontal="right"/>
    </xf>
    <xf numFmtId="215" fontId="65" fillId="42" borderId="31" xfId="0" applyNumberFormat="1" applyFont="1" applyFill="1" applyBorder="1" applyAlignment="1">
      <alignment horizontal="left" indent="1"/>
    </xf>
    <xf numFmtId="215" fontId="65" fillId="42" borderId="31" xfId="0" applyNumberFormat="1" applyFont="1" applyFill="1" applyBorder="1" applyAlignment="1">
      <alignment horizontal="left" indent="2"/>
    </xf>
    <xf numFmtId="218" fontId="64" fillId="41" borderId="2" xfId="2" applyNumberFormat="1" applyFont="1" applyFill="1" applyBorder="1"/>
    <xf numFmtId="214" fontId="58" fillId="42" borderId="4" xfId="0" applyNumberFormat="1" applyFont="1" applyFill="1" applyBorder="1" applyAlignment="1">
      <alignment horizontal="right"/>
    </xf>
    <xf numFmtId="215" fontId="58" fillId="0" borderId="0" xfId="2" applyNumberFormat="1" applyFont="1"/>
    <xf numFmtId="215" fontId="65" fillId="0" borderId="26" xfId="0" applyNumberFormat="1" applyFont="1" applyBorder="1"/>
    <xf numFmtId="215" fontId="64" fillId="41" borderId="0" xfId="0" applyNumberFormat="1" applyFont="1" applyFill="1"/>
    <xf numFmtId="215" fontId="64" fillId="41" borderId="26" xfId="0" applyNumberFormat="1" applyFont="1" applyFill="1" applyBorder="1"/>
    <xf numFmtId="215" fontId="58" fillId="39" borderId="0" xfId="0" applyNumberFormat="1" applyFont="1" applyFill="1"/>
    <xf numFmtId="0" fontId="64" fillId="43" borderId="2" xfId="0" applyFont="1" applyFill="1" applyBorder="1"/>
    <xf numFmtId="0" fontId="64" fillId="41" borderId="2" xfId="0" applyFont="1" applyFill="1" applyBorder="1" applyAlignment="1">
      <alignment horizontal="right"/>
    </xf>
    <xf numFmtId="9" fontId="58" fillId="0" borderId="0" xfId="2" applyFont="1"/>
    <xf numFmtId="9" fontId="64" fillId="41" borderId="2" xfId="0" applyNumberFormat="1" applyFont="1" applyFill="1" applyBorder="1"/>
    <xf numFmtId="219" fontId="64" fillId="41" borderId="0" xfId="0" applyNumberFormat="1" applyFont="1" applyFill="1"/>
    <xf numFmtId="213" fontId="64" fillId="41" borderId="0" xfId="0" applyNumberFormat="1" applyFont="1" applyFill="1"/>
    <xf numFmtId="213" fontId="64" fillId="41" borderId="26" xfId="0" applyNumberFormat="1" applyFont="1" applyFill="1" applyBorder="1"/>
    <xf numFmtId="215" fontId="74" fillId="41" borderId="0" xfId="0" applyNumberFormat="1" applyFont="1" applyFill="1"/>
    <xf numFmtId="214" fontId="74" fillId="41" borderId="0" xfId="0" applyNumberFormat="1" applyFont="1" applyFill="1"/>
    <xf numFmtId="215" fontId="64" fillId="43" borderId="0" xfId="0" applyNumberFormat="1" applyFont="1" applyFill="1"/>
    <xf numFmtId="215" fontId="64" fillId="43" borderId="26" xfId="0" applyNumberFormat="1" applyFont="1" applyFill="1" applyBorder="1"/>
    <xf numFmtId="215" fontId="74" fillId="43" borderId="0" xfId="0" applyNumberFormat="1" applyFont="1" applyFill="1"/>
    <xf numFmtId="214" fontId="74" fillId="43" borderId="0" xfId="0" applyNumberFormat="1" applyFont="1" applyFill="1"/>
    <xf numFmtId="213" fontId="58" fillId="0" borderId="0" xfId="0" applyNumberFormat="1" applyFont="1"/>
    <xf numFmtId="213" fontId="75" fillId="0" borderId="0" xfId="0" applyNumberFormat="1" applyFont="1"/>
    <xf numFmtId="213" fontId="58" fillId="0" borderId="35" xfId="0" applyNumberFormat="1" applyFont="1" applyBorder="1"/>
    <xf numFmtId="213" fontId="58" fillId="39" borderId="0" xfId="0" applyNumberFormat="1" applyFont="1" applyFill="1"/>
    <xf numFmtId="219" fontId="58" fillId="0" borderId="0" xfId="0" applyNumberFormat="1" applyFont="1"/>
    <xf numFmtId="1" fontId="64" fillId="41" borderId="34" xfId="0" applyNumberFormat="1" applyFont="1" applyFill="1" applyBorder="1"/>
    <xf numFmtId="214" fontId="64" fillId="43" borderId="0" xfId="0" applyNumberFormat="1" applyFont="1" applyFill="1"/>
    <xf numFmtId="214" fontId="64" fillId="43" borderId="26" xfId="0" applyNumberFormat="1" applyFont="1" applyFill="1" applyBorder="1"/>
    <xf numFmtId="214" fontId="75" fillId="0" borderId="0" xfId="0" applyNumberFormat="1" applyFont="1"/>
    <xf numFmtId="215" fontId="58" fillId="44" borderId="0" xfId="0" applyNumberFormat="1" applyFont="1" applyFill="1" applyAlignment="1">
      <alignment horizontal="right"/>
    </xf>
    <xf numFmtId="166" fontId="58" fillId="44" borderId="0" xfId="2" applyNumberFormat="1" applyFont="1" applyFill="1"/>
  </cellXfs>
  <cellStyles count="784">
    <cellStyle name="# ##0" xfId="50" xr:uid="{00000000-0005-0000-0000-000000000000}"/>
    <cellStyle name="# ##0 2" xfId="51" xr:uid="{00000000-0005-0000-0000-000001000000}"/>
    <cellStyle name="# ##0 2 2" xfId="52" xr:uid="{00000000-0005-0000-0000-000002000000}"/>
    <cellStyle name="# ##0 2 3" xfId="53" xr:uid="{00000000-0005-0000-0000-000003000000}"/>
    <cellStyle name="# ##0 3" xfId="54" xr:uid="{00000000-0005-0000-0000-000004000000}"/>
    <cellStyle name="# ##0,00" xfId="4" xr:uid="{00000000-0005-0000-0000-000005000000}"/>
    <cellStyle name="# ##0,00;-# ##0,00;" xfId="5" xr:uid="{00000000-0005-0000-0000-000006000000}"/>
    <cellStyle name="# ##0,00;-# ##0,00; 2" xfId="55" xr:uid="{00000000-0005-0000-0000-000007000000}"/>
    <cellStyle name="# ##0,00;-# ##0,00; 3" xfId="56" xr:uid="{00000000-0005-0000-0000-000008000000}"/>
    <cellStyle name="# ##0,00;-# ##0,00; 4" xfId="57" xr:uid="{00000000-0005-0000-0000-000009000000}"/>
    <cellStyle name="# ##0,00;-# ##0,00; 4 2" xfId="58" xr:uid="{00000000-0005-0000-0000-00000A000000}"/>
    <cellStyle name="# ##0,00;-# ##0,00; 4 3" xfId="59" xr:uid="{00000000-0005-0000-0000-00000B000000}"/>
    <cellStyle name="# ##0,00;-# ##0,00; 5" xfId="60" xr:uid="{00000000-0005-0000-0000-00000C000000}"/>
    <cellStyle name="$" xfId="61" xr:uid="{00000000-0005-0000-0000-00000D000000}"/>
    <cellStyle name="£" xfId="62" xr:uid="{00000000-0005-0000-0000-00000E000000}"/>
    <cellStyle name="0" xfId="6" xr:uid="{00000000-0005-0000-0000-00000F000000}"/>
    <cellStyle name="0 2" xfId="63" xr:uid="{00000000-0005-0000-0000-000010000000}"/>
    <cellStyle name="0 3" xfId="64" xr:uid="{00000000-0005-0000-0000-000011000000}"/>
    <cellStyle name="0 4" xfId="65" xr:uid="{00000000-0005-0000-0000-000012000000}"/>
    <cellStyle name="0,0" xfId="66" xr:uid="{00000000-0005-0000-0000-000013000000}"/>
    <cellStyle name="0,0 2" xfId="67" xr:uid="{00000000-0005-0000-0000-000014000000}"/>
    <cellStyle name="0,00&quot; %&quot;;-0,00&quot; %&quot;;" xfId="7" xr:uid="{00000000-0005-0000-0000-000015000000}"/>
    <cellStyle name="0,00%" xfId="68" xr:uid="{00000000-0005-0000-0000-000016000000}"/>
    <cellStyle name="0,00% 2" xfId="69" xr:uid="{00000000-0005-0000-0000-000017000000}"/>
    <cellStyle name="0,00%;-0,00%;" xfId="8" xr:uid="{00000000-0005-0000-0000-000018000000}"/>
    <cellStyle name="01- 0 ---------------" xfId="70" xr:uid="{00000000-0005-0000-0000-000019000000}"/>
    <cellStyle name="02- # ##0" xfId="71" xr:uid="{00000000-0005-0000-0000-00001A000000}"/>
    <cellStyle name="03- 0,00" xfId="72" xr:uid="{00000000-0005-0000-0000-00001B000000}"/>
    <cellStyle name="04- # ##0,00" xfId="73" xr:uid="{00000000-0005-0000-0000-00001C000000}"/>
    <cellStyle name="05- 0%" xfId="74" xr:uid="{00000000-0005-0000-0000-00001D000000}"/>
    <cellStyle name="06- 0,0%" xfId="75" xr:uid="{00000000-0005-0000-0000-00001E000000}"/>
    <cellStyle name="07- 0,00%" xfId="76" xr:uid="{00000000-0005-0000-0000-00001F000000}"/>
    <cellStyle name="11 •  0" xfId="9" xr:uid="{00000000-0005-0000-0000-000020000000}"/>
    <cellStyle name="11- 0;-0; -----------" xfId="77" xr:uid="{00000000-0005-0000-0000-000021000000}"/>
    <cellStyle name="12- # ##0;-# ##0;" xfId="78" xr:uid="{00000000-0005-0000-0000-000022000000}"/>
    <cellStyle name="12 •  # ##0" xfId="10" xr:uid="{00000000-0005-0000-0000-000023000000}"/>
    <cellStyle name="13 •  # ##0,00" xfId="11" xr:uid="{00000000-0005-0000-0000-000024000000}"/>
    <cellStyle name="13- 0,00;-0,00;" xfId="79" xr:uid="{00000000-0005-0000-0000-000025000000}"/>
    <cellStyle name="14- # ##0,00;-# ##0,00;" xfId="80" xr:uid="{00000000-0005-0000-0000-000026000000}"/>
    <cellStyle name="15- 0%;-0%;" xfId="81" xr:uid="{00000000-0005-0000-0000-000027000000}"/>
    <cellStyle name="16- 0,0%;-0,0%;" xfId="82" xr:uid="{00000000-0005-0000-0000-000028000000}"/>
    <cellStyle name="17 •  0%" xfId="12" xr:uid="{00000000-0005-0000-0000-000029000000}"/>
    <cellStyle name="17- 0,00%;-0,00%;" xfId="83" xr:uid="{00000000-0005-0000-0000-00002A000000}"/>
    <cellStyle name="18 •  0,0%" xfId="13" xr:uid="{00000000-0005-0000-0000-00002B000000}"/>
    <cellStyle name="19 •  0,00%" xfId="14" xr:uid="{00000000-0005-0000-0000-00002C000000}"/>
    <cellStyle name="20 ________ cadre fin" xfId="15" xr:uid="{00000000-0005-0000-0000-00002D000000}"/>
    <cellStyle name="20 % - Accent1 2" xfId="84" xr:uid="{00000000-0005-0000-0000-00002E000000}"/>
    <cellStyle name="20 % - Accent1 2 2" xfId="396" xr:uid="{00000000-0005-0000-0000-00002F000000}"/>
    <cellStyle name="20 % - Accent2 2" xfId="85" xr:uid="{00000000-0005-0000-0000-000030000000}"/>
    <cellStyle name="20 % - Accent2 2 2" xfId="397" xr:uid="{00000000-0005-0000-0000-000031000000}"/>
    <cellStyle name="20 % - Accent3 2" xfId="86" xr:uid="{00000000-0005-0000-0000-000032000000}"/>
    <cellStyle name="20 % - Accent3 2 2" xfId="398" xr:uid="{00000000-0005-0000-0000-000033000000}"/>
    <cellStyle name="20 % - Accent4 2" xfId="87" xr:uid="{00000000-0005-0000-0000-000034000000}"/>
    <cellStyle name="20 % - Accent4 2 2" xfId="399" xr:uid="{00000000-0005-0000-0000-000035000000}"/>
    <cellStyle name="20 % - Accent5 2" xfId="88" xr:uid="{00000000-0005-0000-0000-000036000000}"/>
    <cellStyle name="20 % - Accent6 2" xfId="89" xr:uid="{00000000-0005-0000-0000-000037000000}"/>
    <cellStyle name="20% - Accent1" xfId="90" xr:uid="{00000000-0005-0000-0000-000038000000}"/>
    <cellStyle name="20% - Accent2" xfId="91" xr:uid="{00000000-0005-0000-0000-000039000000}"/>
    <cellStyle name="20% - Accent3" xfId="92" xr:uid="{00000000-0005-0000-0000-00003A000000}"/>
    <cellStyle name="20% - Accent4" xfId="93" xr:uid="{00000000-0005-0000-0000-00003B000000}"/>
    <cellStyle name="20% - Accent5" xfId="94" xr:uid="{00000000-0005-0000-0000-00003C000000}"/>
    <cellStyle name="20% - Accent5 2" xfId="778" xr:uid="{00000000-0005-0000-0000-00003D000000}"/>
    <cellStyle name="20% - Accent6" xfId="95" xr:uid="{00000000-0005-0000-0000-00003E000000}"/>
    <cellStyle name="21- +0;-0; ----------" xfId="96" xr:uid="{00000000-0005-0000-0000-00003F000000}"/>
    <cellStyle name="21 •  0;-0;" xfId="16" xr:uid="{00000000-0005-0000-0000-000040000000}"/>
    <cellStyle name="21 •  0;-0; 2" xfId="400" xr:uid="{00000000-0005-0000-0000-000041000000}"/>
    <cellStyle name="21 •  0;-0; 2 2" xfId="590" xr:uid="{00000000-0005-0000-0000-000042000000}"/>
    <cellStyle name="21 •  0;-0; 3" xfId="584" xr:uid="{00000000-0005-0000-0000-000043000000}"/>
    <cellStyle name="22- +# ##0;-# ##0;" xfId="97" xr:uid="{00000000-0005-0000-0000-000044000000}"/>
    <cellStyle name="22 •  # ##0;-# ##0;" xfId="17" xr:uid="{00000000-0005-0000-0000-000045000000}"/>
    <cellStyle name="22 •  # ##0;-# ##0; 2" xfId="401" xr:uid="{00000000-0005-0000-0000-000046000000}"/>
    <cellStyle name="22 •  # ##0;-# ##0; 2 2" xfId="562" xr:uid="{00000000-0005-0000-0000-000047000000}"/>
    <cellStyle name="22 •  # ##0;-# ##0; 3" xfId="600" xr:uid="{00000000-0005-0000-0000-000048000000}"/>
    <cellStyle name="23- +0,00;-0,00;" xfId="98" xr:uid="{00000000-0005-0000-0000-000049000000}"/>
    <cellStyle name="23 •  # ##0,00;-# ##0,00;" xfId="18" xr:uid="{00000000-0005-0000-0000-00004A000000}"/>
    <cellStyle name="24- +# ##0,00;-# ##0,00;" xfId="99" xr:uid="{00000000-0005-0000-0000-00004B000000}"/>
    <cellStyle name="25- +0%;-0%;" xfId="100" xr:uid="{00000000-0005-0000-0000-00004C000000}"/>
    <cellStyle name="26- +0,0%;-0,0%;" xfId="101" xr:uid="{00000000-0005-0000-0000-00004D000000}"/>
    <cellStyle name="27- +0,00%;-0,00%;" xfId="102" xr:uid="{00000000-0005-0000-0000-00004E000000}"/>
    <cellStyle name="27 •  0%;-0%;" xfId="19" xr:uid="{00000000-0005-0000-0000-00004F000000}"/>
    <cellStyle name="28 •  0,0%;-0,0%;" xfId="20" xr:uid="{00000000-0005-0000-0000-000050000000}"/>
    <cellStyle name="29 •  0,00%;-0,00%;" xfId="21" xr:uid="{00000000-0005-0000-0000-000051000000}"/>
    <cellStyle name="30 ________ cadre épais" xfId="22" xr:uid="{00000000-0005-0000-0000-000052000000}"/>
    <cellStyle name="31 •  +0;-0;" xfId="23" xr:uid="{00000000-0005-0000-0000-000053000000}"/>
    <cellStyle name="31- 0;-0[Rouge]; ----" xfId="103" xr:uid="{00000000-0005-0000-0000-000054000000}"/>
    <cellStyle name="32- # ##0;-# ##0[Rouge];" xfId="104" xr:uid="{00000000-0005-0000-0000-000055000000}"/>
    <cellStyle name="32 •  +# ##0;-# ##0;" xfId="24" xr:uid="{00000000-0005-0000-0000-000056000000}"/>
    <cellStyle name="33 •  +# ##0,00;-# ##0,00;" xfId="25" xr:uid="{00000000-0005-0000-0000-000057000000}"/>
    <cellStyle name="33- 0,00;-0,00[Rouge];" xfId="105" xr:uid="{00000000-0005-0000-0000-000058000000}"/>
    <cellStyle name="34- # ##0,00;-# ##0,00[Rouge];" xfId="106" xr:uid="{00000000-0005-0000-0000-000059000000}"/>
    <cellStyle name="35- 0%;-0%[Rouge];" xfId="107" xr:uid="{00000000-0005-0000-0000-00005A000000}"/>
    <cellStyle name="36- 0,0%;-0,0%[Rouge];" xfId="108" xr:uid="{00000000-0005-0000-0000-00005B000000}"/>
    <cellStyle name="37 •  +0%;-0%;" xfId="26" xr:uid="{00000000-0005-0000-0000-00005C000000}"/>
    <cellStyle name="37- 0,00%;-0,00%[Rouge];" xfId="109" xr:uid="{00000000-0005-0000-0000-00005D000000}"/>
    <cellStyle name="38 •  +0,0%;-0,0%;" xfId="27" xr:uid="{00000000-0005-0000-0000-00005E000000}"/>
    <cellStyle name="39 •  +0,00%;-0,00%;" xfId="28" xr:uid="{00000000-0005-0000-0000-00005F000000}"/>
    <cellStyle name="40 ________ cadre moyen" xfId="29" xr:uid="{00000000-0005-0000-0000-000060000000}"/>
    <cellStyle name="40 % - Accent1 2" xfId="110" xr:uid="{00000000-0005-0000-0000-000061000000}"/>
    <cellStyle name="40 % - Accent1 2 2" xfId="402" xr:uid="{00000000-0005-0000-0000-000062000000}"/>
    <cellStyle name="40 % - Accent2 2" xfId="111" xr:uid="{00000000-0005-0000-0000-000063000000}"/>
    <cellStyle name="40 % - Accent3 2" xfId="112" xr:uid="{00000000-0005-0000-0000-000064000000}"/>
    <cellStyle name="40 % - Accent3 2 2" xfId="403" xr:uid="{00000000-0005-0000-0000-000065000000}"/>
    <cellStyle name="40 % - Accent4 2" xfId="113" xr:uid="{00000000-0005-0000-0000-000066000000}"/>
    <cellStyle name="40 % - Accent4 2 2" xfId="404" xr:uid="{00000000-0005-0000-0000-000067000000}"/>
    <cellStyle name="40 % - Accent5 2" xfId="114" xr:uid="{00000000-0005-0000-0000-000068000000}"/>
    <cellStyle name="40 % - Accent6 2" xfId="115" xr:uid="{00000000-0005-0000-0000-000069000000}"/>
    <cellStyle name="40 % - Accent6 2 2" xfId="405" xr:uid="{00000000-0005-0000-0000-00006A000000}"/>
    <cellStyle name="40% - Accent1" xfId="116" xr:uid="{00000000-0005-0000-0000-00006B000000}"/>
    <cellStyle name="40% - Accent2" xfId="117" xr:uid="{00000000-0005-0000-0000-00006C000000}"/>
    <cellStyle name="40% - Accent3" xfId="118" xr:uid="{00000000-0005-0000-0000-00006D000000}"/>
    <cellStyle name="40% - Accent4" xfId="119" xr:uid="{00000000-0005-0000-0000-00006E000000}"/>
    <cellStyle name="40% - Accent5" xfId="120" xr:uid="{00000000-0005-0000-0000-00006F000000}"/>
    <cellStyle name="40% - Accent6" xfId="121" xr:uid="{00000000-0005-0000-0000-000070000000}"/>
    <cellStyle name="41 •  Date &quot;JJ-MM-AA&quot; (centrée)" xfId="30" xr:uid="{00000000-0005-0000-0000-000071000000}"/>
    <cellStyle name="41 •  Date &quot;JJ-MM-AA&quot; (centrée) 2" xfId="122" xr:uid="{00000000-0005-0000-0000-000072000000}"/>
    <cellStyle name="41 •  Date &quot;JJ-MM-AAAA&quot; (centrée)" xfId="31" xr:uid="{00000000-0005-0000-0000-000073000000}"/>
    <cellStyle name="42 •  Date &quot;MMMM AAAA&quot; (gauche)" xfId="32" xr:uid="{00000000-0005-0000-0000-000074000000}"/>
    <cellStyle name="44444" xfId="123" xr:uid="{00000000-0005-0000-0000-000075000000}"/>
    <cellStyle name="50 ________ cadre double" xfId="33" xr:uid="{00000000-0005-0000-0000-000076000000}"/>
    <cellStyle name="51 •  Recopier" xfId="34" xr:uid="{00000000-0005-0000-0000-000077000000}"/>
    <cellStyle name="51 •  Recopier 2" xfId="124" xr:uid="{00000000-0005-0000-0000-000078000000}"/>
    <cellStyle name="52 •  Case ombrée" xfId="35" xr:uid="{00000000-0005-0000-0000-000079000000}"/>
    <cellStyle name="52 •  Case ombrée 2" xfId="125" xr:uid="{00000000-0005-0000-0000-00007A000000}"/>
    <cellStyle name="53 •  Case noire" xfId="36" xr:uid="{00000000-0005-0000-0000-00007B000000}"/>
    <cellStyle name="53 •  Case noire 2" xfId="126" xr:uid="{00000000-0005-0000-0000-00007C000000}"/>
    <cellStyle name="54 •  Case hachurée" xfId="37" xr:uid="{00000000-0005-0000-0000-00007D000000}"/>
    <cellStyle name="54 •  Case hachurée 2" xfId="127" xr:uid="{00000000-0005-0000-0000-00007E000000}"/>
    <cellStyle name="58 •  Times 12 gras" xfId="38" xr:uid="{00000000-0005-0000-0000-00007F000000}"/>
    <cellStyle name="58 •  Times 12 gras 2" xfId="128" xr:uid="{00000000-0005-0000-0000-000080000000}"/>
    <cellStyle name="58 •  Times 12 gras 2 2" xfId="577" xr:uid="{00000000-0005-0000-0000-000081000000}"/>
    <cellStyle name="58 •  Times 12 gras 3" xfId="582" xr:uid="{00000000-0005-0000-0000-000082000000}"/>
    <cellStyle name="59 •  Times 14 gras" xfId="39" xr:uid="{00000000-0005-0000-0000-000083000000}"/>
    <cellStyle name="59 •  Times 14 gras 2" xfId="129" xr:uid="{00000000-0005-0000-0000-000084000000}"/>
    <cellStyle name="59 •  Times 14 gras 2 2" xfId="576" xr:uid="{00000000-0005-0000-0000-000085000000}"/>
    <cellStyle name="59 •  Times 14 gras 3" xfId="581" xr:uid="{00000000-0005-0000-0000-000086000000}"/>
    <cellStyle name="60 • Vertical" xfId="40" xr:uid="{00000000-0005-0000-0000-000087000000}"/>
    <cellStyle name="60 • Vertical 2" xfId="130" xr:uid="{00000000-0005-0000-0000-000088000000}"/>
    <cellStyle name="60 % - Accent1 2" xfId="131" xr:uid="{00000000-0005-0000-0000-000089000000}"/>
    <cellStyle name="60 % - Accent1 2 2" xfId="406" xr:uid="{00000000-0005-0000-0000-00008A000000}"/>
    <cellStyle name="60 % - Accent2 2" xfId="132" xr:uid="{00000000-0005-0000-0000-00008B000000}"/>
    <cellStyle name="60 % - Accent3 2" xfId="133" xr:uid="{00000000-0005-0000-0000-00008C000000}"/>
    <cellStyle name="60 % - Accent3 2 2" xfId="407" xr:uid="{00000000-0005-0000-0000-00008D000000}"/>
    <cellStyle name="60 % - Accent4 2" xfId="134" xr:uid="{00000000-0005-0000-0000-00008E000000}"/>
    <cellStyle name="60 % - Accent4 2 2" xfId="408" xr:uid="{00000000-0005-0000-0000-00008F000000}"/>
    <cellStyle name="60 % - Accent5 2" xfId="135" xr:uid="{00000000-0005-0000-0000-000090000000}"/>
    <cellStyle name="60 % - Accent6 2" xfId="136" xr:uid="{00000000-0005-0000-0000-000091000000}"/>
    <cellStyle name="60 % - Accent6 2 2" xfId="409" xr:uid="{00000000-0005-0000-0000-000092000000}"/>
    <cellStyle name="60% - Accent1" xfId="137" xr:uid="{00000000-0005-0000-0000-000093000000}"/>
    <cellStyle name="60% - Accent2" xfId="138" xr:uid="{00000000-0005-0000-0000-000094000000}"/>
    <cellStyle name="60% - Accent3" xfId="139" xr:uid="{00000000-0005-0000-0000-000095000000}"/>
    <cellStyle name="60% - Accent4" xfId="140" xr:uid="{00000000-0005-0000-0000-000096000000}"/>
    <cellStyle name="60% - Accent5" xfId="141" xr:uid="{00000000-0005-0000-0000-000097000000}"/>
    <cellStyle name="60% - Accent6" xfId="142" xr:uid="{00000000-0005-0000-0000-000098000000}"/>
    <cellStyle name="60% - Accent6 2" xfId="776" xr:uid="{00000000-0005-0000-0000-000099000000}"/>
    <cellStyle name="Accent1 2" xfId="143" xr:uid="{00000000-0005-0000-0000-00009A000000}"/>
    <cellStyle name="Accent1 2 2" xfId="410" xr:uid="{00000000-0005-0000-0000-00009B000000}"/>
    <cellStyle name="Accent2 2" xfId="144" xr:uid="{00000000-0005-0000-0000-00009C000000}"/>
    <cellStyle name="Accent2 2 2" xfId="411" xr:uid="{00000000-0005-0000-0000-00009D000000}"/>
    <cellStyle name="Accent3 2" xfId="145" xr:uid="{00000000-0005-0000-0000-00009E000000}"/>
    <cellStyle name="Accent4 2" xfId="146" xr:uid="{00000000-0005-0000-0000-00009F000000}"/>
    <cellStyle name="Accent4 2 2" xfId="412" xr:uid="{00000000-0005-0000-0000-0000A0000000}"/>
    <cellStyle name="Accent5 2" xfId="147" xr:uid="{00000000-0005-0000-0000-0000A1000000}"/>
    <cellStyle name="Accent6 2" xfId="148" xr:uid="{00000000-0005-0000-0000-0000A2000000}"/>
    <cellStyle name="adi" xfId="327" xr:uid="{00000000-0005-0000-0000-0000A3000000}"/>
    <cellStyle name="Avertissement 2" xfId="149" xr:uid="{00000000-0005-0000-0000-0000A4000000}"/>
    <cellStyle name="Avertissement 2 2" xfId="413" xr:uid="{00000000-0005-0000-0000-0000A5000000}"/>
    <cellStyle name="Bad" xfId="150" xr:uid="{00000000-0005-0000-0000-0000A6000000}"/>
    <cellStyle name="Bad 2" xfId="775" xr:uid="{00000000-0005-0000-0000-0000A7000000}"/>
    <cellStyle name="Budgeted Holidays" xfId="328" xr:uid="{00000000-0005-0000-0000-0000A8000000}"/>
    <cellStyle name="Caché" xfId="329" xr:uid="{00000000-0005-0000-0000-0000A9000000}"/>
    <cellStyle name="Cadre" xfId="330" xr:uid="{00000000-0005-0000-0000-0000AA000000}"/>
    <cellStyle name="Cadre 2" xfId="414" xr:uid="{00000000-0005-0000-0000-0000AB000000}"/>
    <cellStyle name="Cadre 2 2" xfId="467" xr:uid="{00000000-0005-0000-0000-0000AC000000}"/>
    <cellStyle name="Cadre 2 2 2" xfId="683" xr:uid="{00000000-0005-0000-0000-0000AD000000}"/>
    <cellStyle name="Cadre 2 3" xfId="566" xr:uid="{00000000-0005-0000-0000-0000AE000000}"/>
    <cellStyle name="Cadre 3" xfId="468" xr:uid="{00000000-0005-0000-0000-0000AF000000}"/>
    <cellStyle name="Cadre 3 2" xfId="684" xr:uid="{00000000-0005-0000-0000-0000B0000000}"/>
    <cellStyle name="Cadre 4" xfId="591" xr:uid="{00000000-0005-0000-0000-0000B1000000}"/>
    <cellStyle name="Calcul 2" xfId="151" xr:uid="{00000000-0005-0000-0000-0000B2000000}"/>
    <cellStyle name="Calcul 2 2" xfId="415" xr:uid="{00000000-0005-0000-0000-0000B3000000}"/>
    <cellStyle name="Calcul 2 2 2" xfId="594" xr:uid="{00000000-0005-0000-0000-0000B4000000}"/>
    <cellStyle name="Calcul 2 2 3" xfId="589" xr:uid="{00000000-0005-0000-0000-0000B5000000}"/>
    <cellStyle name="Calcul 2 3" xfId="469" xr:uid="{00000000-0005-0000-0000-0000B6000000}"/>
    <cellStyle name="Calcul 2 3 2" xfId="602" xr:uid="{00000000-0005-0000-0000-0000B7000000}"/>
    <cellStyle name="Calcul 2 3 3" xfId="685" xr:uid="{00000000-0005-0000-0000-0000B8000000}"/>
    <cellStyle name="Calcul 2 4" xfId="470" xr:uid="{00000000-0005-0000-0000-0000B9000000}"/>
    <cellStyle name="Calcul 2 4 2" xfId="603" xr:uid="{00000000-0005-0000-0000-0000BA000000}"/>
    <cellStyle name="Calcul 2 4 3" xfId="686" xr:uid="{00000000-0005-0000-0000-0000BB000000}"/>
    <cellStyle name="Calcul 2 5" xfId="471" xr:uid="{00000000-0005-0000-0000-0000BC000000}"/>
    <cellStyle name="Calcul 2 5 2" xfId="604" xr:uid="{00000000-0005-0000-0000-0000BD000000}"/>
    <cellStyle name="Calcul 2 5 3" xfId="687" xr:uid="{00000000-0005-0000-0000-0000BE000000}"/>
    <cellStyle name="Calcul 2 6" xfId="472" xr:uid="{00000000-0005-0000-0000-0000BF000000}"/>
    <cellStyle name="Calcul 2 6 2" xfId="605" xr:uid="{00000000-0005-0000-0000-0000C0000000}"/>
    <cellStyle name="Calcul 2 6 3" xfId="688" xr:uid="{00000000-0005-0000-0000-0000C1000000}"/>
    <cellStyle name="Calcul 2 7" xfId="473" xr:uid="{00000000-0005-0000-0000-0000C2000000}"/>
    <cellStyle name="Calcul 2 7 2" xfId="606" xr:uid="{00000000-0005-0000-0000-0000C3000000}"/>
    <cellStyle name="Calcul 2 7 3" xfId="689" xr:uid="{00000000-0005-0000-0000-0000C4000000}"/>
    <cellStyle name="Calcul 2 8" xfId="568" xr:uid="{00000000-0005-0000-0000-0000C5000000}"/>
    <cellStyle name="Calcul 2 9" xfId="563" xr:uid="{00000000-0005-0000-0000-0000C6000000}"/>
    <cellStyle name="Calculation" xfId="152" xr:uid="{00000000-0005-0000-0000-0000C7000000}"/>
    <cellStyle name="Calculation 2" xfId="474" xr:uid="{00000000-0005-0000-0000-0000C8000000}"/>
    <cellStyle name="Calculation 2 2" xfId="475" xr:uid="{00000000-0005-0000-0000-0000C9000000}"/>
    <cellStyle name="Calculation 2 2 2" xfId="608" xr:uid="{00000000-0005-0000-0000-0000CA000000}"/>
    <cellStyle name="Calculation 2 2 3" xfId="691" xr:uid="{00000000-0005-0000-0000-0000CB000000}"/>
    <cellStyle name="Calculation 2 3" xfId="476" xr:uid="{00000000-0005-0000-0000-0000CC000000}"/>
    <cellStyle name="Calculation 2 3 2" xfId="609" xr:uid="{00000000-0005-0000-0000-0000CD000000}"/>
    <cellStyle name="Calculation 2 3 3" xfId="692" xr:uid="{00000000-0005-0000-0000-0000CE000000}"/>
    <cellStyle name="Calculation 2 4" xfId="477" xr:uid="{00000000-0005-0000-0000-0000CF000000}"/>
    <cellStyle name="Calculation 2 4 2" xfId="610" xr:uid="{00000000-0005-0000-0000-0000D0000000}"/>
    <cellStyle name="Calculation 2 4 3" xfId="693" xr:uid="{00000000-0005-0000-0000-0000D1000000}"/>
    <cellStyle name="Calculation 2 5" xfId="478" xr:uid="{00000000-0005-0000-0000-0000D2000000}"/>
    <cellStyle name="Calculation 2 5 2" xfId="611" xr:uid="{00000000-0005-0000-0000-0000D3000000}"/>
    <cellStyle name="Calculation 2 5 3" xfId="694" xr:uid="{00000000-0005-0000-0000-0000D4000000}"/>
    <cellStyle name="Calculation 2 6" xfId="479" xr:uid="{00000000-0005-0000-0000-0000D5000000}"/>
    <cellStyle name="Calculation 2 6 2" xfId="612" xr:uid="{00000000-0005-0000-0000-0000D6000000}"/>
    <cellStyle name="Calculation 2 6 3" xfId="695" xr:uid="{00000000-0005-0000-0000-0000D7000000}"/>
    <cellStyle name="Calculation 2 7" xfId="480" xr:uid="{00000000-0005-0000-0000-0000D8000000}"/>
    <cellStyle name="Calculation 2 7 2" xfId="613" xr:uid="{00000000-0005-0000-0000-0000D9000000}"/>
    <cellStyle name="Calculation 2 7 3" xfId="696" xr:uid="{00000000-0005-0000-0000-0000DA000000}"/>
    <cellStyle name="Calculation 2 8" xfId="607" xr:uid="{00000000-0005-0000-0000-0000DB000000}"/>
    <cellStyle name="Calculation 2 9" xfId="690" xr:uid="{00000000-0005-0000-0000-0000DC000000}"/>
    <cellStyle name="Calculation 3" xfId="481" xr:uid="{00000000-0005-0000-0000-0000DD000000}"/>
    <cellStyle name="Calculation 3 2" xfId="614" xr:uid="{00000000-0005-0000-0000-0000DE000000}"/>
    <cellStyle name="Calculation 3 3" xfId="697" xr:uid="{00000000-0005-0000-0000-0000DF000000}"/>
    <cellStyle name="Calculation 4" xfId="547" xr:uid="{00000000-0005-0000-0000-0000E0000000}"/>
    <cellStyle name="Calculation 4 2" xfId="677" xr:uid="{00000000-0005-0000-0000-0000E1000000}"/>
    <cellStyle name="Calculation 4 3" xfId="760" xr:uid="{00000000-0005-0000-0000-0000E2000000}"/>
    <cellStyle name="Calculation 5" xfId="569" xr:uid="{00000000-0005-0000-0000-0000E3000000}"/>
    <cellStyle name="Calculation 6" xfId="597" xr:uid="{00000000-0005-0000-0000-0000E4000000}"/>
    <cellStyle name="category" xfId="331" xr:uid="{00000000-0005-0000-0000-0000E5000000}"/>
    <cellStyle name="Cellule liée 2" xfId="153" xr:uid="{00000000-0005-0000-0000-0000E6000000}"/>
    <cellStyle name="Centré erg" xfId="416" xr:uid="{00000000-0005-0000-0000-0000E7000000}"/>
    <cellStyle name="charte" xfId="332" xr:uid="{00000000-0005-0000-0000-0000E8000000}"/>
    <cellStyle name="Check Cell" xfId="154" xr:uid="{00000000-0005-0000-0000-0000E9000000}"/>
    <cellStyle name="Comma [0]" xfId="333" xr:uid="{00000000-0005-0000-0000-0000EA000000}"/>
    <cellStyle name="Comma [0] 2" xfId="417" xr:uid="{00000000-0005-0000-0000-0000EB000000}"/>
    <cellStyle name="Comma 2" xfId="782" xr:uid="{00000000-0005-0000-0000-0000EC000000}"/>
    <cellStyle name="Comma0" xfId="334" xr:uid="{00000000-0005-0000-0000-0000ED000000}"/>
    <cellStyle name="Comma0 2" xfId="418" xr:uid="{00000000-0005-0000-0000-0000EE000000}"/>
    <cellStyle name="Commentaire 2" xfId="155" xr:uid="{00000000-0005-0000-0000-0000EF000000}"/>
    <cellStyle name="Commentaire 2 2" xfId="419" xr:uid="{00000000-0005-0000-0000-0000F0000000}"/>
    <cellStyle name="Commentaire 2 3" xfId="482" xr:uid="{00000000-0005-0000-0000-0000F1000000}"/>
    <cellStyle name="Commentaire 2 3 2" xfId="615" xr:uid="{00000000-0005-0000-0000-0000F2000000}"/>
    <cellStyle name="Commentaire 2 3 3" xfId="698" xr:uid="{00000000-0005-0000-0000-0000F3000000}"/>
    <cellStyle name="Commentaire 2 4" xfId="483" xr:uid="{00000000-0005-0000-0000-0000F4000000}"/>
    <cellStyle name="Commentaire 2 4 2" xfId="616" xr:uid="{00000000-0005-0000-0000-0000F5000000}"/>
    <cellStyle name="Commentaire 2 4 3" xfId="699" xr:uid="{00000000-0005-0000-0000-0000F6000000}"/>
    <cellStyle name="Commentaire 2 5" xfId="484" xr:uid="{00000000-0005-0000-0000-0000F7000000}"/>
    <cellStyle name="Commentaire 2 5 2" xfId="617" xr:uid="{00000000-0005-0000-0000-0000F8000000}"/>
    <cellStyle name="Commentaire 2 5 3" xfId="700" xr:uid="{00000000-0005-0000-0000-0000F9000000}"/>
    <cellStyle name="Commentaire 2 6" xfId="485" xr:uid="{00000000-0005-0000-0000-0000FA000000}"/>
    <cellStyle name="Commentaire 2 6 2" xfId="618" xr:uid="{00000000-0005-0000-0000-0000FB000000}"/>
    <cellStyle name="Commentaire 2 6 3" xfId="701" xr:uid="{00000000-0005-0000-0000-0000FC000000}"/>
    <cellStyle name="Commentaire 2 7" xfId="486" xr:uid="{00000000-0005-0000-0000-0000FD000000}"/>
    <cellStyle name="Commentaire 2 7 2" xfId="619" xr:uid="{00000000-0005-0000-0000-0000FE000000}"/>
    <cellStyle name="Commentaire 2 7 3" xfId="702" xr:uid="{00000000-0005-0000-0000-0000FF000000}"/>
    <cellStyle name="Commentaire 2 8" xfId="570" xr:uid="{00000000-0005-0000-0000-000000010000}"/>
    <cellStyle name="Commentaire 2 9" xfId="587" xr:uid="{00000000-0005-0000-0000-000001010000}"/>
    <cellStyle name="Contour double" xfId="41" xr:uid="{00000000-0005-0000-0000-000002010000}"/>
    <cellStyle name="Contour double 2" xfId="156" xr:uid="{00000000-0005-0000-0000-000003010000}"/>
    <cellStyle name="Contour épais" xfId="42" xr:uid="{00000000-0005-0000-0000-000004010000}"/>
    <cellStyle name="Contour épais 2" xfId="157" xr:uid="{00000000-0005-0000-0000-000005010000}"/>
    <cellStyle name="Contour fin" xfId="43" xr:uid="{00000000-0005-0000-0000-000006010000}"/>
    <cellStyle name="Contour fin 2" xfId="158" xr:uid="{00000000-0005-0000-0000-000007010000}"/>
    <cellStyle name="Contour fin 2 2" xfId="575" xr:uid="{00000000-0005-0000-0000-000008010000}"/>
    <cellStyle name="Contour fin 3" xfId="580" xr:uid="{00000000-0005-0000-0000-000009010000}"/>
    <cellStyle name="Coût" xfId="335" xr:uid="{00000000-0005-0000-0000-00000A010000}"/>
    <cellStyle name="Currency $" xfId="336" xr:uid="{00000000-0005-0000-0000-00000B010000}"/>
    <cellStyle name="Currency [0]" xfId="337" xr:uid="{00000000-0005-0000-0000-00000C010000}"/>
    <cellStyle name="Currency [0] 2" xfId="420" xr:uid="{00000000-0005-0000-0000-00000D010000}"/>
    <cellStyle name="Currency 2" xfId="338" xr:uid="{00000000-0005-0000-0000-00000E010000}"/>
    <cellStyle name="Currency 2 2" xfId="421" xr:uid="{00000000-0005-0000-0000-00000F010000}"/>
    <cellStyle name="Currency 3" xfId="339" xr:uid="{00000000-0005-0000-0000-000010010000}"/>
    <cellStyle name="Currency 4" xfId="770" xr:uid="{00000000-0005-0000-0000-000011010000}"/>
    <cellStyle name="Currency0" xfId="340" xr:uid="{00000000-0005-0000-0000-000012010000}"/>
    <cellStyle name="Currency0 2" xfId="422" xr:uid="{00000000-0005-0000-0000-000013010000}"/>
    <cellStyle name="Cyan_button_style" xfId="341" xr:uid="{00000000-0005-0000-0000-000014010000}"/>
    <cellStyle name="Date" xfId="159" xr:uid="{00000000-0005-0000-0000-000015010000}"/>
    <cellStyle name="Date anglaise" xfId="342" xr:uid="{00000000-0005-0000-0000-000016010000}"/>
    <cellStyle name="Date centrée" xfId="160" xr:uid="{00000000-0005-0000-0000-000017010000}"/>
    <cellStyle name="Date centrée 2" xfId="161" xr:uid="{00000000-0005-0000-0000-000018010000}"/>
    <cellStyle name="date centrée jj-mm-aa" xfId="44" xr:uid="{00000000-0005-0000-0000-000019010000}"/>
    <cellStyle name="Date mois" xfId="343" xr:uid="{00000000-0005-0000-0000-00001A010000}"/>
    <cellStyle name="Date saisie" xfId="344" xr:uid="{00000000-0005-0000-0000-00001B010000}"/>
    <cellStyle name="Date_Contractors &amp; temporary" xfId="345" xr:uid="{00000000-0005-0000-0000-00001C010000}"/>
    <cellStyle name="Déf_kLoc" xfId="346" xr:uid="{00000000-0005-0000-0000-00001D010000}"/>
    <cellStyle name="DM" xfId="162" xr:uid="{00000000-0005-0000-0000-00001E010000}"/>
    <cellStyle name="Donnée" xfId="347" xr:uid="{00000000-0005-0000-0000-00001F010000}"/>
    <cellStyle name="Donnée 2" xfId="487" xr:uid="{00000000-0005-0000-0000-000020010000}"/>
    <cellStyle name="Donnée 3" xfId="488" xr:uid="{00000000-0005-0000-0000-000021010000}"/>
    <cellStyle name="Emilie" xfId="348" xr:uid="{00000000-0005-0000-0000-000022010000}"/>
    <cellStyle name="Entrée 2" xfId="163" xr:uid="{00000000-0005-0000-0000-000023010000}"/>
    <cellStyle name="Entrée 2 2" xfId="423" xr:uid="{00000000-0005-0000-0000-000024010000}"/>
    <cellStyle name="Entrée 2 2 2" xfId="596" xr:uid="{00000000-0005-0000-0000-000025010000}"/>
    <cellStyle name="Entrée 2 2 3" xfId="561" xr:uid="{00000000-0005-0000-0000-000026010000}"/>
    <cellStyle name="Entrée 2 3" xfId="489" xr:uid="{00000000-0005-0000-0000-000027010000}"/>
    <cellStyle name="Entrée 2 3 2" xfId="620" xr:uid="{00000000-0005-0000-0000-000028010000}"/>
    <cellStyle name="Entrée 2 3 3" xfId="703" xr:uid="{00000000-0005-0000-0000-000029010000}"/>
    <cellStyle name="Entrée 2 4" xfId="490" xr:uid="{00000000-0005-0000-0000-00002A010000}"/>
    <cellStyle name="Entrée 2 4 2" xfId="621" xr:uid="{00000000-0005-0000-0000-00002B010000}"/>
    <cellStyle name="Entrée 2 4 3" xfId="704" xr:uid="{00000000-0005-0000-0000-00002C010000}"/>
    <cellStyle name="Entrée 2 5" xfId="491" xr:uid="{00000000-0005-0000-0000-00002D010000}"/>
    <cellStyle name="Entrée 2 5 2" xfId="622" xr:uid="{00000000-0005-0000-0000-00002E010000}"/>
    <cellStyle name="Entrée 2 5 3" xfId="705" xr:uid="{00000000-0005-0000-0000-00002F010000}"/>
    <cellStyle name="Entrée 2 6" xfId="492" xr:uid="{00000000-0005-0000-0000-000030010000}"/>
    <cellStyle name="Entrée 2 6 2" xfId="623" xr:uid="{00000000-0005-0000-0000-000031010000}"/>
    <cellStyle name="Entrée 2 6 3" xfId="706" xr:uid="{00000000-0005-0000-0000-000032010000}"/>
    <cellStyle name="Entrée 2 7" xfId="493" xr:uid="{00000000-0005-0000-0000-000033010000}"/>
    <cellStyle name="Entrée 2 7 2" xfId="624" xr:uid="{00000000-0005-0000-0000-000034010000}"/>
    <cellStyle name="Entrée 2 7 3" xfId="707" xr:uid="{00000000-0005-0000-0000-000035010000}"/>
    <cellStyle name="Entrée 2 8" xfId="572" xr:uid="{00000000-0005-0000-0000-000036010000}"/>
    <cellStyle name="Entrée 2 9" xfId="574" xr:uid="{00000000-0005-0000-0000-000037010000}"/>
    <cellStyle name="Euro" xfId="45" xr:uid="{00000000-0005-0000-0000-000038010000}"/>
    <cellStyle name="Euro 2" xfId="165" xr:uid="{00000000-0005-0000-0000-000039010000}"/>
    <cellStyle name="Euro 2 2" xfId="166" xr:uid="{00000000-0005-0000-0000-00003A010000}"/>
    <cellStyle name="Euro 2 2 2" xfId="424" xr:uid="{00000000-0005-0000-0000-00003B010000}"/>
    <cellStyle name="Euro 2 2 3" xfId="548" xr:uid="{00000000-0005-0000-0000-00003C010000}"/>
    <cellStyle name="Euro 2 3" xfId="167" xr:uid="{00000000-0005-0000-0000-00003D010000}"/>
    <cellStyle name="Euro 2 4" xfId="425" xr:uid="{00000000-0005-0000-0000-00003E010000}"/>
    <cellStyle name="Euro 3" xfId="168" xr:uid="{00000000-0005-0000-0000-00003F010000}"/>
    <cellStyle name="Euro 3 2" xfId="426" xr:uid="{00000000-0005-0000-0000-000040010000}"/>
    <cellStyle name="Euro 3 3" xfId="427" xr:uid="{00000000-0005-0000-0000-000041010000}"/>
    <cellStyle name="Euro 3 4" xfId="428" xr:uid="{00000000-0005-0000-0000-000042010000}"/>
    <cellStyle name="Euro 3 5" xfId="429" xr:uid="{00000000-0005-0000-0000-000043010000}"/>
    <cellStyle name="Euro 3 6" xfId="549" xr:uid="{00000000-0005-0000-0000-000044010000}"/>
    <cellStyle name="Euro 4" xfId="169" xr:uid="{00000000-0005-0000-0000-000045010000}"/>
    <cellStyle name="Euro 5" xfId="430" xr:uid="{00000000-0005-0000-0000-000046010000}"/>
    <cellStyle name="Euro 6" xfId="431" xr:uid="{00000000-0005-0000-0000-000047010000}"/>
    <cellStyle name="Euro 7" xfId="432" xr:uid="{00000000-0005-0000-0000-000048010000}"/>
    <cellStyle name="Euro 8" xfId="164" xr:uid="{00000000-0005-0000-0000-000049010000}"/>
    <cellStyle name="Euro_Coûts de production budget excel 2013" xfId="433" xr:uid="{00000000-0005-0000-0000-00004A010000}"/>
    <cellStyle name="Explanatory Text" xfId="170" xr:uid="{00000000-0005-0000-0000-00004B010000}"/>
    <cellStyle name="Fixé" xfId="349" xr:uid="{00000000-0005-0000-0000-00004C010000}"/>
    <cellStyle name="Fixed" xfId="350" xr:uid="{00000000-0005-0000-0000-00004D010000}"/>
    <cellStyle name="Fixed 2" xfId="434" xr:uid="{00000000-0005-0000-0000-00004E010000}"/>
    <cellStyle name="Good" xfId="171" xr:uid="{00000000-0005-0000-0000-00004F010000}"/>
    <cellStyle name="Good 2" xfId="774" xr:uid="{00000000-0005-0000-0000-000050010000}"/>
    <cellStyle name="Grey" xfId="351" xr:uid="{00000000-0005-0000-0000-000051010000}"/>
    <cellStyle name="H_Déf" xfId="352" xr:uid="{00000000-0005-0000-0000-000052010000}"/>
    <cellStyle name="H_Déf_09SBP2 2010-2012 Slides" xfId="353" xr:uid="{00000000-0005-0000-0000-000053010000}"/>
    <cellStyle name="H_Déf_09SBP2 2010-2012 Slides_1" xfId="354" xr:uid="{00000000-0005-0000-0000-000054010000}"/>
    <cellStyle name="H_Déf_09SBP2 2010-2012 Slides_Budget 2009 Sofradir Group - Sept 11 (pi)" xfId="355" xr:uid="{00000000-0005-0000-0000-000055010000}"/>
    <cellStyle name="H_Déf_09SBP2 Optimum 2011 formats v1" xfId="356" xr:uid="{00000000-0005-0000-0000-000056010000}"/>
    <cellStyle name="H_Déf_09SBP2 Optimum 2011 formats v1_09SBP2 2010-2012 Slides" xfId="357" xr:uid="{00000000-0005-0000-0000-000057010000}"/>
    <cellStyle name="H_Déf_09SBP2 Optimum 2011 formats v1_Budget 2009 Sofradir Group - Sept 11 (pi)" xfId="358" xr:uid="{00000000-0005-0000-0000-000058010000}"/>
    <cellStyle name="H_Déf_Budget 2009 Sofradir Group - Sept 11 (pi)" xfId="359" xr:uid="{00000000-0005-0000-0000-000059010000}"/>
    <cellStyle name="H_Déf_Cash forecast" xfId="360" xr:uid="{00000000-0005-0000-0000-00005A010000}"/>
    <cellStyle name="H_Déf_Cash forecast DLJ Oct 2008" xfId="361" xr:uid="{00000000-0005-0000-0000-00005B010000}"/>
    <cellStyle name="H_Déf_Cash forecast DLJ Oct 2008_Budget 2009 Sofradir Group - Sept 11 (pi)" xfId="362" xr:uid="{00000000-0005-0000-0000-00005C010000}"/>
    <cellStyle name="H_Déf_Cash forecast_Budget 2009 Sofradir Group - Sept 11 (pi)" xfId="363" xr:uid="{00000000-0005-0000-0000-00005D010000}"/>
    <cellStyle name="HEADER" xfId="364" xr:uid="{00000000-0005-0000-0000-00005E010000}"/>
    <cellStyle name="Heading 1" xfId="172" xr:uid="{00000000-0005-0000-0000-00005F010000}"/>
    <cellStyle name="Heading 2" xfId="173" xr:uid="{00000000-0005-0000-0000-000060010000}"/>
    <cellStyle name="Heading 3" xfId="174" xr:uid="{00000000-0005-0000-0000-000061010000}"/>
    <cellStyle name="Heading 4" xfId="175" xr:uid="{00000000-0005-0000-0000-000062010000}"/>
    <cellStyle name="Input" xfId="176" xr:uid="{00000000-0005-0000-0000-000063010000}"/>
    <cellStyle name="Input [yellow]" xfId="365" xr:uid="{00000000-0005-0000-0000-000064010000}"/>
    <cellStyle name="Input [yellow] 2" xfId="494" xr:uid="{00000000-0005-0000-0000-000065010000}"/>
    <cellStyle name="Input [yellow] 2 2" xfId="625" xr:uid="{00000000-0005-0000-0000-000066010000}"/>
    <cellStyle name="Input [yellow] 2 3" xfId="708" xr:uid="{00000000-0005-0000-0000-000067010000}"/>
    <cellStyle name="Input 10" xfId="550" xr:uid="{00000000-0005-0000-0000-000068010000}"/>
    <cellStyle name="Input 10 2" xfId="678" xr:uid="{00000000-0005-0000-0000-000069010000}"/>
    <cellStyle name="Input 10 3" xfId="761" xr:uid="{00000000-0005-0000-0000-00006A010000}"/>
    <cellStyle name="Input 11" xfId="573" xr:uid="{00000000-0005-0000-0000-00006B010000}"/>
    <cellStyle name="Input 12" xfId="586" xr:uid="{00000000-0005-0000-0000-00006C010000}"/>
    <cellStyle name="Input 2" xfId="495" xr:uid="{00000000-0005-0000-0000-00006D010000}"/>
    <cellStyle name="Input 2 2" xfId="496" xr:uid="{00000000-0005-0000-0000-00006E010000}"/>
    <cellStyle name="Input 2 2 2" xfId="627" xr:uid="{00000000-0005-0000-0000-00006F010000}"/>
    <cellStyle name="Input 2 2 3" xfId="710" xr:uid="{00000000-0005-0000-0000-000070010000}"/>
    <cellStyle name="Input 2 3" xfId="497" xr:uid="{00000000-0005-0000-0000-000071010000}"/>
    <cellStyle name="Input 2 3 2" xfId="628" xr:uid="{00000000-0005-0000-0000-000072010000}"/>
    <cellStyle name="Input 2 3 3" xfId="711" xr:uid="{00000000-0005-0000-0000-000073010000}"/>
    <cellStyle name="Input 2 4" xfId="498" xr:uid="{00000000-0005-0000-0000-000074010000}"/>
    <cellStyle name="Input 2 4 2" xfId="629" xr:uid="{00000000-0005-0000-0000-000075010000}"/>
    <cellStyle name="Input 2 4 3" xfId="712" xr:uid="{00000000-0005-0000-0000-000076010000}"/>
    <cellStyle name="Input 2 5" xfId="499" xr:uid="{00000000-0005-0000-0000-000077010000}"/>
    <cellStyle name="Input 2 5 2" xfId="630" xr:uid="{00000000-0005-0000-0000-000078010000}"/>
    <cellStyle name="Input 2 5 3" xfId="713" xr:uid="{00000000-0005-0000-0000-000079010000}"/>
    <cellStyle name="Input 2 6" xfId="500" xr:uid="{00000000-0005-0000-0000-00007A010000}"/>
    <cellStyle name="Input 2 6 2" xfId="631" xr:uid="{00000000-0005-0000-0000-00007B010000}"/>
    <cellStyle name="Input 2 6 3" xfId="714" xr:uid="{00000000-0005-0000-0000-00007C010000}"/>
    <cellStyle name="Input 2 7" xfId="501" xr:uid="{00000000-0005-0000-0000-00007D010000}"/>
    <cellStyle name="Input 2 7 2" xfId="632" xr:uid="{00000000-0005-0000-0000-00007E010000}"/>
    <cellStyle name="Input 2 7 3" xfId="715" xr:uid="{00000000-0005-0000-0000-00007F010000}"/>
    <cellStyle name="Input 2 8" xfId="626" xr:uid="{00000000-0005-0000-0000-000080010000}"/>
    <cellStyle name="Input 2 9" xfId="709" xr:uid="{00000000-0005-0000-0000-000081010000}"/>
    <cellStyle name="Input 3" xfId="502" xr:uid="{00000000-0005-0000-0000-000082010000}"/>
    <cellStyle name="Input 3 2" xfId="503" xr:uid="{00000000-0005-0000-0000-000083010000}"/>
    <cellStyle name="Input 3 2 2" xfId="634" xr:uid="{00000000-0005-0000-0000-000084010000}"/>
    <cellStyle name="Input 3 2 3" xfId="717" xr:uid="{00000000-0005-0000-0000-000085010000}"/>
    <cellStyle name="Input 3 3" xfId="504" xr:uid="{00000000-0005-0000-0000-000086010000}"/>
    <cellStyle name="Input 3 3 2" xfId="635" xr:uid="{00000000-0005-0000-0000-000087010000}"/>
    <cellStyle name="Input 3 3 3" xfId="718" xr:uid="{00000000-0005-0000-0000-000088010000}"/>
    <cellStyle name="Input 3 4" xfId="505" xr:uid="{00000000-0005-0000-0000-000089010000}"/>
    <cellStyle name="Input 3 4 2" xfId="636" xr:uid="{00000000-0005-0000-0000-00008A010000}"/>
    <cellStyle name="Input 3 4 3" xfId="719" xr:uid="{00000000-0005-0000-0000-00008B010000}"/>
    <cellStyle name="Input 3 5" xfId="506" xr:uid="{00000000-0005-0000-0000-00008C010000}"/>
    <cellStyle name="Input 3 5 2" xfId="637" xr:uid="{00000000-0005-0000-0000-00008D010000}"/>
    <cellStyle name="Input 3 5 3" xfId="720" xr:uid="{00000000-0005-0000-0000-00008E010000}"/>
    <cellStyle name="Input 3 6" xfId="507" xr:uid="{00000000-0005-0000-0000-00008F010000}"/>
    <cellStyle name="Input 3 6 2" xfId="638" xr:uid="{00000000-0005-0000-0000-000090010000}"/>
    <cellStyle name="Input 3 6 3" xfId="721" xr:uid="{00000000-0005-0000-0000-000091010000}"/>
    <cellStyle name="Input 3 7" xfId="508" xr:uid="{00000000-0005-0000-0000-000092010000}"/>
    <cellStyle name="Input 3 7 2" xfId="639" xr:uid="{00000000-0005-0000-0000-000093010000}"/>
    <cellStyle name="Input 3 7 3" xfId="722" xr:uid="{00000000-0005-0000-0000-000094010000}"/>
    <cellStyle name="Input 3 8" xfId="633" xr:uid="{00000000-0005-0000-0000-000095010000}"/>
    <cellStyle name="Input 3 9" xfId="716" xr:uid="{00000000-0005-0000-0000-000096010000}"/>
    <cellStyle name="Input 4" xfId="509" xr:uid="{00000000-0005-0000-0000-000097010000}"/>
    <cellStyle name="Input 4 2" xfId="640" xr:uid="{00000000-0005-0000-0000-000098010000}"/>
    <cellStyle name="Input 4 3" xfId="723" xr:uid="{00000000-0005-0000-0000-000099010000}"/>
    <cellStyle name="Input 5" xfId="510" xr:uid="{00000000-0005-0000-0000-00009A010000}"/>
    <cellStyle name="Input 5 2" xfId="641" xr:uid="{00000000-0005-0000-0000-00009B010000}"/>
    <cellStyle name="Input 5 3" xfId="724" xr:uid="{00000000-0005-0000-0000-00009C010000}"/>
    <cellStyle name="Input 6" xfId="511" xr:uid="{00000000-0005-0000-0000-00009D010000}"/>
    <cellStyle name="Input 6 2" xfId="642" xr:uid="{00000000-0005-0000-0000-00009E010000}"/>
    <cellStyle name="Input 6 3" xfId="725" xr:uid="{00000000-0005-0000-0000-00009F010000}"/>
    <cellStyle name="Input 7" xfId="512" xr:uid="{00000000-0005-0000-0000-0000A0010000}"/>
    <cellStyle name="Input 7 2" xfId="643" xr:uid="{00000000-0005-0000-0000-0000A1010000}"/>
    <cellStyle name="Input 7 3" xfId="726" xr:uid="{00000000-0005-0000-0000-0000A2010000}"/>
    <cellStyle name="Input 8" xfId="513" xr:uid="{00000000-0005-0000-0000-0000A3010000}"/>
    <cellStyle name="Input 8 2" xfId="644" xr:uid="{00000000-0005-0000-0000-0000A4010000}"/>
    <cellStyle name="Input 8 3" xfId="727" xr:uid="{00000000-0005-0000-0000-0000A5010000}"/>
    <cellStyle name="Input 9" xfId="514" xr:uid="{00000000-0005-0000-0000-0000A6010000}"/>
    <cellStyle name="Input 9 2" xfId="645" xr:uid="{00000000-0005-0000-0000-0000A7010000}"/>
    <cellStyle name="Input 9 3" xfId="728" xr:uid="{00000000-0005-0000-0000-0000A8010000}"/>
    <cellStyle name="Insatisfaisant 2" xfId="177" xr:uid="{00000000-0005-0000-0000-0000A9010000}"/>
    <cellStyle name="Insatisfaisant 2 2" xfId="435" xr:uid="{00000000-0005-0000-0000-0000AA010000}"/>
    <cellStyle name="jours" xfId="178" xr:uid="{00000000-0005-0000-0000-0000AB010000}"/>
    <cellStyle name="kF [0]" xfId="179" xr:uid="{00000000-0005-0000-0000-0000AC010000}"/>
    <cellStyle name="Lien hypertexte" xfId="783" builtinId="8"/>
    <cellStyle name="Lien hypertexte 2" xfId="180" xr:uid="{00000000-0005-0000-0000-0000AE010000}"/>
    <cellStyle name="Lien hypertexte 2 2" xfId="181" xr:uid="{00000000-0005-0000-0000-0000AF010000}"/>
    <cellStyle name="Lien hypertexte 2 3" xfId="182" xr:uid="{00000000-0005-0000-0000-0000B0010000}"/>
    <cellStyle name="Lien hypertexte 3" xfId="183" xr:uid="{00000000-0005-0000-0000-0000B1010000}"/>
    <cellStyle name="Lien hypertexte 4" xfId="184" xr:uid="{00000000-0005-0000-0000-0000B2010000}"/>
    <cellStyle name="Lien hypertexte 5" xfId="185" xr:uid="{00000000-0005-0000-0000-0000B3010000}"/>
    <cellStyle name="Linked Cell" xfId="186" xr:uid="{00000000-0005-0000-0000-0000B4010000}"/>
    <cellStyle name="Masqué" xfId="366" xr:uid="{00000000-0005-0000-0000-0000B5010000}"/>
    <cellStyle name="Milliers" xfId="1" builtinId="3"/>
    <cellStyle name="Milliers 10" xfId="436" xr:uid="{00000000-0005-0000-0000-0000B7010000}"/>
    <cellStyle name="Milliers 11" xfId="437" xr:uid="{00000000-0005-0000-0000-0000B8010000}"/>
    <cellStyle name="Milliers 12" xfId="438" xr:uid="{00000000-0005-0000-0000-0000B9010000}"/>
    <cellStyle name="Milliers 13" xfId="546" xr:uid="{00000000-0005-0000-0000-0000BA010000}"/>
    <cellStyle name="Milliers 14" xfId="560" xr:uid="{00000000-0005-0000-0000-0000BB010000}"/>
    <cellStyle name="Milliers 15" xfId="779" xr:uid="{00000000-0005-0000-0000-0000BC010000}"/>
    <cellStyle name="Milliers 2" xfId="47" xr:uid="{00000000-0005-0000-0000-0000BD010000}"/>
    <cellStyle name="Milliers 2 2" xfId="187" xr:uid="{00000000-0005-0000-0000-0000BE010000}"/>
    <cellStyle name="Milliers 2 2 2" xfId="439" xr:uid="{00000000-0005-0000-0000-0000BF010000}"/>
    <cellStyle name="Milliers 2 3" xfId="188" xr:uid="{00000000-0005-0000-0000-0000C0010000}"/>
    <cellStyle name="Milliers 2 4" xfId="440" xr:uid="{00000000-0005-0000-0000-0000C1010000}"/>
    <cellStyle name="Milliers 2 5" xfId="551" xr:uid="{00000000-0005-0000-0000-0000C2010000}"/>
    <cellStyle name="Milliers 3" xfId="46" xr:uid="{00000000-0005-0000-0000-0000C3010000}"/>
    <cellStyle name="Milliers 3 2" xfId="190" xr:uid="{00000000-0005-0000-0000-0000C4010000}"/>
    <cellStyle name="Milliers 3 2 2" xfId="191" xr:uid="{00000000-0005-0000-0000-0000C5010000}"/>
    <cellStyle name="Milliers 3 3" xfId="192" xr:uid="{00000000-0005-0000-0000-0000C6010000}"/>
    <cellStyle name="Milliers 3 4" xfId="193" xr:uid="{00000000-0005-0000-0000-0000C7010000}"/>
    <cellStyle name="Milliers 3 5" xfId="441" xr:uid="{00000000-0005-0000-0000-0000C8010000}"/>
    <cellStyle name="Milliers 3 6" xfId="552" xr:uid="{00000000-0005-0000-0000-0000C9010000}"/>
    <cellStyle name="Milliers 3 7" xfId="189" xr:uid="{00000000-0005-0000-0000-0000CA010000}"/>
    <cellStyle name="Milliers 4" xfId="194" xr:uid="{00000000-0005-0000-0000-0000CB010000}"/>
    <cellStyle name="Milliers 4 2" xfId="442" xr:uid="{00000000-0005-0000-0000-0000CC010000}"/>
    <cellStyle name="Milliers 4 3" xfId="443" xr:uid="{00000000-0005-0000-0000-0000CD010000}"/>
    <cellStyle name="Milliers 4 4" xfId="444" xr:uid="{00000000-0005-0000-0000-0000CE010000}"/>
    <cellStyle name="Milliers 5" xfId="195" xr:uid="{00000000-0005-0000-0000-0000CF010000}"/>
    <cellStyle name="Milliers 6" xfId="367" xr:uid="{00000000-0005-0000-0000-0000D0010000}"/>
    <cellStyle name="Milliers 6 2" xfId="445" xr:uid="{00000000-0005-0000-0000-0000D1010000}"/>
    <cellStyle name="Milliers 7" xfId="446" xr:uid="{00000000-0005-0000-0000-0000D2010000}"/>
    <cellStyle name="Milliers 8" xfId="447" xr:uid="{00000000-0005-0000-0000-0000D3010000}"/>
    <cellStyle name="Milliers 9" xfId="448" xr:uid="{00000000-0005-0000-0000-0000D4010000}"/>
    <cellStyle name="Model" xfId="368" xr:uid="{00000000-0005-0000-0000-0000D5010000}"/>
    <cellStyle name="mois/année" xfId="196" xr:uid="{00000000-0005-0000-0000-0000D6010000}"/>
    <cellStyle name="Monétaire 2" xfId="318" xr:uid="{00000000-0005-0000-0000-0000D7010000}"/>
    <cellStyle name="Monétaire 2 2" xfId="449" xr:uid="{00000000-0005-0000-0000-0000D8010000}"/>
    <cellStyle name="Monétaire 3" xfId="450" xr:uid="{00000000-0005-0000-0000-0000D9010000}"/>
    <cellStyle name="Monétaire0" xfId="369" xr:uid="{00000000-0005-0000-0000-0000DA010000}"/>
    <cellStyle name="Monétaire0 2" xfId="451" xr:uid="{00000000-0005-0000-0000-0000DB010000}"/>
    <cellStyle name="Neutral" xfId="197" xr:uid="{00000000-0005-0000-0000-0000DC010000}"/>
    <cellStyle name="Neutre 2" xfId="198" xr:uid="{00000000-0005-0000-0000-0000DD010000}"/>
    <cellStyle name="Non modifiable" xfId="370" xr:uid="{00000000-0005-0000-0000-0000DE010000}"/>
    <cellStyle name="Normal" xfId="0" builtinId="0"/>
    <cellStyle name="Normal - Style1" xfId="371" xr:uid="{00000000-0005-0000-0000-0000E0010000}"/>
    <cellStyle name="Normal 10" xfId="199" xr:uid="{00000000-0005-0000-0000-0000E1010000}"/>
    <cellStyle name="Normal 10 2" xfId="200" xr:uid="{00000000-0005-0000-0000-0000E2010000}"/>
    <cellStyle name="Normal 10 3" xfId="201" xr:uid="{00000000-0005-0000-0000-0000E3010000}"/>
    <cellStyle name="Normal 10 4" xfId="202" xr:uid="{00000000-0005-0000-0000-0000E4010000}"/>
    <cellStyle name="Normal 11" xfId="203" xr:uid="{00000000-0005-0000-0000-0000E5010000}"/>
    <cellStyle name="Normal 11 2" xfId="204" xr:uid="{00000000-0005-0000-0000-0000E6010000}"/>
    <cellStyle name="Normal 11 3" xfId="205" xr:uid="{00000000-0005-0000-0000-0000E7010000}"/>
    <cellStyle name="Normal 12" xfId="206" xr:uid="{00000000-0005-0000-0000-0000E8010000}"/>
    <cellStyle name="Normal 12 2" xfId="207" xr:uid="{00000000-0005-0000-0000-0000E9010000}"/>
    <cellStyle name="Normal 13" xfId="208" xr:uid="{00000000-0005-0000-0000-0000EA010000}"/>
    <cellStyle name="Normal 14" xfId="319" xr:uid="{00000000-0005-0000-0000-0000EB010000}"/>
    <cellStyle name="Normal 15" xfId="320" xr:uid="{00000000-0005-0000-0000-0000EC010000}"/>
    <cellStyle name="Normal 16" xfId="321" xr:uid="{00000000-0005-0000-0000-0000ED010000}"/>
    <cellStyle name="Normal 17" xfId="452" xr:uid="{00000000-0005-0000-0000-0000EE010000}"/>
    <cellStyle name="Normal 18" xfId="453" xr:uid="{00000000-0005-0000-0000-0000EF010000}"/>
    <cellStyle name="Normal 19" xfId="765" xr:uid="{00000000-0005-0000-0000-0000F0010000}"/>
    <cellStyle name="Normal 2" xfId="48" xr:uid="{00000000-0005-0000-0000-0000F1010000}"/>
    <cellStyle name="Normal 2 2" xfId="210" xr:uid="{00000000-0005-0000-0000-0000F2010000}"/>
    <cellStyle name="Normal 2 2 2" xfId="211" xr:uid="{00000000-0005-0000-0000-0000F3010000}"/>
    <cellStyle name="Normal 2 2 2 2" xfId="454" xr:uid="{00000000-0005-0000-0000-0000F4010000}"/>
    <cellStyle name="Normal 2 2 3" xfId="212" xr:uid="{00000000-0005-0000-0000-0000F5010000}"/>
    <cellStyle name="Normal 2 3" xfId="213" xr:uid="{00000000-0005-0000-0000-0000F6010000}"/>
    <cellStyle name="Normal 2 3 2" xfId="214" xr:uid="{00000000-0005-0000-0000-0000F7010000}"/>
    <cellStyle name="Normal 2 3 2 2" xfId="215" xr:uid="{00000000-0005-0000-0000-0000F8010000}"/>
    <cellStyle name="Normal 2 3 3" xfId="216" xr:uid="{00000000-0005-0000-0000-0000F9010000}"/>
    <cellStyle name="Normal 2 3 4" xfId="217" xr:uid="{00000000-0005-0000-0000-0000FA010000}"/>
    <cellStyle name="Normal 2 4" xfId="218" xr:uid="{00000000-0005-0000-0000-0000FB010000}"/>
    <cellStyle name="Normal 2 5" xfId="317" xr:uid="{00000000-0005-0000-0000-0000FC010000}"/>
    <cellStyle name="Normal 2 5 2" xfId="395" xr:uid="{00000000-0005-0000-0000-0000FD010000}"/>
    <cellStyle name="Normal 2 6" xfId="553" xr:uid="{00000000-0005-0000-0000-0000FE010000}"/>
    <cellStyle name="Normal 2 7" xfId="209" xr:uid="{00000000-0005-0000-0000-0000FF010000}"/>
    <cellStyle name="Normal 2 8" xfId="780" xr:uid="{00000000-0005-0000-0000-000000020000}"/>
    <cellStyle name="Normal 20" xfId="767" xr:uid="{00000000-0005-0000-0000-000001020000}"/>
    <cellStyle name="Normal 21" xfId="769" xr:uid="{00000000-0005-0000-0000-000002020000}"/>
    <cellStyle name="Normal 22" xfId="773" xr:uid="{00000000-0005-0000-0000-000003020000}"/>
    <cellStyle name="Normal 24" xfId="322" xr:uid="{00000000-0005-0000-0000-000004020000}"/>
    <cellStyle name="Normal 3" xfId="3" xr:uid="{00000000-0005-0000-0000-000005020000}"/>
    <cellStyle name="Normal 3 2" xfId="220" xr:uid="{00000000-0005-0000-0000-000006020000}"/>
    <cellStyle name="Normal 3 2 2" xfId="221" xr:uid="{00000000-0005-0000-0000-000007020000}"/>
    <cellStyle name="Normal 3 2 2 2" xfId="222" xr:uid="{00000000-0005-0000-0000-000008020000}"/>
    <cellStyle name="Normal 3 2 3" xfId="223" xr:uid="{00000000-0005-0000-0000-000009020000}"/>
    <cellStyle name="Normal 3 2 4" xfId="224" xr:uid="{00000000-0005-0000-0000-00000A020000}"/>
    <cellStyle name="Normal 3 3" xfId="225" xr:uid="{00000000-0005-0000-0000-00000B020000}"/>
    <cellStyle name="Normal 3 3 2" xfId="226" xr:uid="{00000000-0005-0000-0000-00000C020000}"/>
    <cellStyle name="Normal 3 4" xfId="227" xr:uid="{00000000-0005-0000-0000-00000D020000}"/>
    <cellStyle name="Normal 3 5" xfId="228" xr:uid="{00000000-0005-0000-0000-00000E020000}"/>
    <cellStyle name="Normal 3 6" xfId="554" xr:uid="{00000000-0005-0000-0000-00000F020000}"/>
    <cellStyle name="Normal 3 7" xfId="219" xr:uid="{00000000-0005-0000-0000-000010020000}"/>
    <cellStyle name="Normal 4" xfId="229" xr:uid="{00000000-0005-0000-0000-000011020000}"/>
    <cellStyle name="Normal 4 2" xfId="230" xr:uid="{00000000-0005-0000-0000-000012020000}"/>
    <cellStyle name="Normal 4 2 2" xfId="455" xr:uid="{00000000-0005-0000-0000-000013020000}"/>
    <cellStyle name="Normal 4 3" xfId="231" xr:uid="{00000000-0005-0000-0000-000014020000}"/>
    <cellStyle name="Normal 4 4" xfId="232" xr:uid="{00000000-0005-0000-0000-000015020000}"/>
    <cellStyle name="Normal 4 5" xfId="233" xr:uid="{00000000-0005-0000-0000-000016020000}"/>
    <cellStyle name="Normal 4 6" xfId="555" xr:uid="{00000000-0005-0000-0000-000017020000}"/>
    <cellStyle name="Normal 5" xfId="234" xr:uid="{00000000-0005-0000-0000-000018020000}"/>
    <cellStyle name="Normal 5 2" xfId="235" xr:uid="{00000000-0005-0000-0000-000019020000}"/>
    <cellStyle name="Normal 5 2 2" xfId="236" xr:uid="{00000000-0005-0000-0000-00001A020000}"/>
    <cellStyle name="Normal 5 2 2 2" xfId="237" xr:uid="{00000000-0005-0000-0000-00001B020000}"/>
    <cellStyle name="Normal 5 2 3" xfId="238" xr:uid="{00000000-0005-0000-0000-00001C020000}"/>
    <cellStyle name="Normal 5 2 4" xfId="239" xr:uid="{00000000-0005-0000-0000-00001D020000}"/>
    <cellStyle name="Normal 5 3" xfId="240" xr:uid="{00000000-0005-0000-0000-00001E020000}"/>
    <cellStyle name="Normal 5 4" xfId="241" xr:uid="{00000000-0005-0000-0000-00001F020000}"/>
    <cellStyle name="Normal 5 4 2" xfId="242" xr:uid="{00000000-0005-0000-0000-000020020000}"/>
    <cellStyle name="Normal 5 5" xfId="243" xr:uid="{00000000-0005-0000-0000-000021020000}"/>
    <cellStyle name="Normal 5 5 2" xfId="244" xr:uid="{00000000-0005-0000-0000-000022020000}"/>
    <cellStyle name="Normal 5 6" xfId="245" xr:uid="{00000000-0005-0000-0000-000023020000}"/>
    <cellStyle name="Normal 5 7" xfId="246" xr:uid="{00000000-0005-0000-0000-000024020000}"/>
    <cellStyle name="Normal 5 8" xfId="556" xr:uid="{00000000-0005-0000-0000-000025020000}"/>
    <cellStyle name="Normal 6" xfId="247" xr:uid="{00000000-0005-0000-0000-000026020000}"/>
    <cellStyle name="Normal 6 2" xfId="248" xr:uid="{00000000-0005-0000-0000-000027020000}"/>
    <cellStyle name="Normal 6 2 2" xfId="249" xr:uid="{00000000-0005-0000-0000-000028020000}"/>
    <cellStyle name="Normal 6 2 2 2" xfId="250" xr:uid="{00000000-0005-0000-0000-000029020000}"/>
    <cellStyle name="Normal 6 2 3" xfId="251" xr:uid="{00000000-0005-0000-0000-00002A020000}"/>
    <cellStyle name="Normal 6 2 4" xfId="252" xr:uid="{00000000-0005-0000-0000-00002B020000}"/>
    <cellStyle name="Normal 6 3" xfId="253" xr:uid="{00000000-0005-0000-0000-00002C020000}"/>
    <cellStyle name="Normal 6 4" xfId="254" xr:uid="{00000000-0005-0000-0000-00002D020000}"/>
    <cellStyle name="Normal 7" xfId="255" xr:uid="{00000000-0005-0000-0000-00002E020000}"/>
    <cellStyle name="Normal 7 2" xfId="256" xr:uid="{00000000-0005-0000-0000-00002F020000}"/>
    <cellStyle name="Normal 7 2 2" xfId="257" xr:uid="{00000000-0005-0000-0000-000030020000}"/>
    <cellStyle name="Normal 7 2 2 2" xfId="258" xr:uid="{00000000-0005-0000-0000-000031020000}"/>
    <cellStyle name="Normal 7 2 3" xfId="259" xr:uid="{00000000-0005-0000-0000-000032020000}"/>
    <cellStyle name="Normal 7 2 3 2" xfId="260" xr:uid="{00000000-0005-0000-0000-000033020000}"/>
    <cellStyle name="Normal 7 2 4" xfId="261" xr:uid="{00000000-0005-0000-0000-000034020000}"/>
    <cellStyle name="Normal 7 2 5" xfId="262" xr:uid="{00000000-0005-0000-0000-000035020000}"/>
    <cellStyle name="Normal 7 3" xfId="263" xr:uid="{00000000-0005-0000-0000-000036020000}"/>
    <cellStyle name="Normal 7 3 2" xfId="264" xr:uid="{00000000-0005-0000-0000-000037020000}"/>
    <cellStyle name="Normal 7 4" xfId="265" xr:uid="{00000000-0005-0000-0000-000038020000}"/>
    <cellStyle name="Normal 7 5" xfId="266" xr:uid="{00000000-0005-0000-0000-000039020000}"/>
    <cellStyle name="Normal 8" xfId="267" xr:uid="{00000000-0005-0000-0000-00003A020000}"/>
    <cellStyle name="Normal 8 2" xfId="268" xr:uid="{00000000-0005-0000-0000-00003B020000}"/>
    <cellStyle name="Normal 8 2 2" xfId="269" xr:uid="{00000000-0005-0000-0000-00003C020000}"/>
    <cellStyle name="Normal 8 3" xfId="270" xr:uid="{00000000-0005-0000-0000-00003D020000}"/>
    <cellStyle name="Normal 8 4" xfId="271" xr:uid="{00000000-0005-0000-0000-00003E020000}"/>
    <cellStyle name="Normal 9" xfId="272" xr:uid="{00000000-0005-0000-0000-00003F020000}"/>
    <cellStyle name="Normal 9 2" xfId="273" xr:uid="{00000000-0005-0000-0000-000040020000}"/>
    <cellStyle name="Normal 9 3" xfId="274" xr:uid="{00000000-0005-0000-0000-000041020000}"/>
    <cellStyle name="Normal 9 4" xfId="275" xr:uid="{00000000-0005-0000-0000-000042020000}"/>
    <cellStyle name="Note 2" xfId="456" xr:uid="{00000000-0005-0000-0000-000043020000}"/>
    <cellStyle name="Note 2 2" xfId="515" xr:uid="{00000000-0005-0000-0000-000044020000}"/>
    <cellStyle name="Note 2 2 2" xfId="646" xr:uid="{00000000-0005-0000-0000-000045020000}"/>
    <cellStyle name="Note 2 2 3" xfId="729" xr:uid="{00000000-0005-0000-0000-000046020000}"/>
    <cellStyle name="Note 2 3" xfId="516" xr:uid="{00000000-0005-0000-0000-000047020000}"/>
    <cellStyle name="Note 2 3 2" xfId="647" xr:uid="{00000000-0005-0000-0000-000048020000}"/>
    <cellStyle name="Note 2 3 3" xfId="730" xr:uid="{00000000-0005-0000-0000-000049020000}"/>
    <cellStyle name="Note 2 4" xfId="517" xr:uid="{00000000-0005-0000-0000-00004A020000}"/>
    <cellStyle name="Note 2 4 2" xfId="648" xr:uid="{00000000-0005-0000-0000-00004B020000}"/>
    <cellStyle name="Note 2 4 3" xfId="731" xr:uid="{00000000-0005-0000-0000-00004C020000}"/>
    <cellStyle name="Note 2 5" xfId="518" xr:uid="{00000000-0005-0000-0000-00004D020000}"/>
    <cellStyle name="Note 2 5 2" xfId="649" xr:uid="{00000000-0005-0000-0000-00004E020000}"/>
    <cellStyle name="Note 2 5 3" xfId="732" xr:uid="{00000000-0005-0000-0000-00004F020000}"/>
    <cellStyle name="Note 2 6" xfId="519" xr:uid="{00000000-0005-0000-0000-000050020000}"/>
    <cellStyle name="Note 2 6 2" xfId="650" xr:uid="{00000000-0005-0000-0000-000051020000}"/>
    <cellStyle name="Note 2 6 3" xfId="733" xr:uid="{00000000-0005-0000-0000-000052020000}"/>
    <cellStyle name="Note 2 7" xfId="520" xr:uid="{00000000-0005-0000-0000-000053020000}"/>
    <cellStyle name="Note 2 7 2" xfId="651" xr:uid="{00000000-0005-0000-0000-000054020000}"/>
    <cellStyle name="Note 2 7 3" xfId="734" xr:uid="{00000000-0005-0000-0000-000055020000}"/>
    <cellStyle name="Note 2 8" xfId="598" xr:uid="{00000000-0005-0000-0000-000056020000}"/>
    <cellStyle name="Note 2 9" xfId="565" xr:uid="{00000000-0005-0000-0000-000057020000}"/>
    <cellStyle name="Note 3" xfId="521" xr:uid="{00000000-0005-0000-0000-000058020000}"/>
    <cellStyle name="Note 3 2" xfId="652" xr:uid="{00000000-0005-0000-0000-000059020000}"/>
    <cellStyle name="Note 3 3" xfId="735" xr:uid="{00000000-0005-0000-0000-00005A020000}"/>
    <cellStyle name="Note 4" xfId="557" xr:uid="{00000000-0005-0000-0000-00005B020000}"/>
    <cellStyle name="Note 4 2" xfId="679" xr:uid="{00000000-0005-0000-0000-00005C020000}"/>
    <cellStyle name="Note 4 3" xfId="762" xr:uid="{00000000-0005-0000-0000-00005D020000}"/>
    <cellStyle name="Note 5" xfId="578" xr:uid="{00000000-0005-0000-0000-00005E020000}"/>
    <cellStyle name="Note 6" xfId="571" xr:uid="{00000000-0005-0000-0000-00005F020000}"/>
    <cellStyle name="Note 7" xfId="276" xr:uid="{00000000-0005-0000-0000-000060020000}"/>
    <cellStyle name="Output" xfId="277" xr:uid="{00000000-0005-0000-0000-000061020000}"/>
    <cellStyle name="Output 2" xfId="522" xr:uid="{00000000-0005-0000-0000-000062020000}"/>
    <cellStyle name="Output 2 2" xfId="523" xr:uid="{00000000-0005-0000-0000-000063020000}"/>
    <cellStyle name="Output 2 2 2" xfId="654" xr:uid="{00000000-0005-0000-0000-000064020000}"/>
    <cellStyle name="Output 2 2 3" xfId="737" xr:uid="{00000000-0005-0000-0000-000065020000}"/>
    <cellStyle name="Output 2 3" xfId="524" xr:uid="{00000000-0005-0000-0000-000066020000}"/>
    <cellStyle name="Output 2 3 2" xfId="655" xr:uid="{00000000-0005-0000-0000-000067020000}"/>
    <cellStyle name="Output 2 3 3" xfId="738" xr:uid="{00000000-0005-0000-0000-000068020000}"/>
    <cellStyle name="Output 2 4" xfId="525" xr:uid="{00000000-0005-0000-0000-000069020000}"/>
    <cellStyle name="Output 2 4 2" xfId="656" xr:uid="{00000000-0005-0000-0000-00006A020000}"/>
    <cellStyle name="Output 2 4 3" xfId="739" xr:uid="{00000000-0005-0000-0000-00006B020000}"/>
    <cellStyle name="Output 2 5" xfId="526" xr:uid="{00000000-0005-0000-0000-00006C020000}"/>
    <cellStyle name="Output 2 5 2" xfId="657" xr:uid="{00000000-0005-0000-0000-00006D020000}"/>
    <cellStyle name="Output 2 5 3" xfId="740" xr:uid="{00000000-0005-0000-0000-00006E020000}"/>
    <cellStyle name="Output 2 6" xfId="527" xr:uid="{00000000-0005-0000-0000-00006F020000}"/>
    <cellStyle name="Output 2 6 2" xfId="658" xr:uid="{00000000-0005-0000-0000-000070020000}"/>
    <cellStyle name="Output 2 6 3" xfId="741" xr:uid="{00000000-0005-0000-0000-000071020000}"/>
    <cellStyle name="Output 2 7" xfId="528" xr:uid="{00000000-0005-0000-0000-000072020000}"/>
    <cellStyle name="Output 2 7 2" xfId="659" xr:uid="{00000000-0005-0000-0000-000073020000}"/>
    <cellStyle name="Output 2 7 3" xfId="742" xr:uid="{00000000-0005-0000-0000-000074020000}"/>
    <cellStyle name="Output 2 8" xfId="653" xr:uid="{00000000-0005-0000-0000-000075020000}"/>
    <cellStyle name="Output 2 9" xfId="736" xr:uid="{00000000-0005-0000-0000-000076020000}"/>
    <cellStyle name="Output 3" xfId="529" xr:uid="{00000000-0005-0000-0000-000077020000}"/>
    <cellStyle name="Output 3 2" xfId="660" xr:uid="{00000000-0005-0000-0000-000078020000}"/>
    <cellStyle name="Output 3 3" xfId="743" xr:uid="{00000000-0005-0000-0000-000079020000}"/>
    <cellStyle name="Output 4" xfId="558" xr:uid="{00000000-0005-0000-0000-00007A020000}"/>
    <cellStyle name="Output 4 2" xfId="680" xr:uid="{00000000-0005-0000-0000-00007B020000}"/>
    <cellStyle name="Output 4 3" xfId="763" xr:uid="{00000000-0005-0000-0000-00007C020000}"/>
    <cellStyle name="Output 5" xfId="579" xr:uid="{00000000-0005-0000-0000-00007D020000}"/>
    <cellStyle name="Output 6" xfId="595" xr:uid="{00000000-0005-0000-0000-00007E020000}"/>
    <cellStyle name="OUTPUT AMOUNTS" xfId="372" xr:uid="{00000000-0005-0000-0000-00007F020000}"/>
    <cellStyle name="OUTPUT LINE ITEMS" xfId="373" xr:uid="{00000000-0005-0000-0000-000080020000}"/>
    <cellStyle name="Percent [2]" xfId="374" xr:uid="{00000000-0005-0000-0000-000081020000}"/>
    <cellStyle name="Percent [2] 2" xfId="457" xr:uid="{00000000-0005-0000-0000-000082020000}"/>
    <cellStyle name="Percent 10" xfId="777" xr:uid="{00000000-0005-0000-0000-000083020000}"/>
    <cellStyle name="Percent 2" xfId="375" xr:uid="{00000000-0005-0000-0000-000084020000}"/>
    <cellStyle name="Percent 2 2" xfId="458" xr:uid="{00000000-0005-0000-0000-000085020000}"/>
    <cellStyle name="Percent 2 3" xfId="781" xr:uid="{00000000-0005-0000-0000-000086020000}"/>
    <cellStyle name="Percent 3" xfId="376" xr:uid="{00000000-0005-0000-0000-000087020000}"/>
    <cellStyle name="Percent 4" xfId="377" xr:uid="{00000000-0005-0000-0000-000088020000}"/>
    <cellStyle name="Percent 5" xfId="378" xr:uid="{00000000-0005-0000-0000-000089020000}"/>
    <cellStyle name="Percent 6" xfId="379" xr:uid="{00000000-0005-0000-0000-00008A020000}"/>
    <cellStyle name="Percent 7" xfId="766" xr:uid="{00000000-0005-0000-0000-00008B020000}"/>
    <cellStyle name="Percent 8" xfId="768" xr:uid="{00000000-0005-0000-0000-00008C020000}"/>
    <cellStyle name="Percent 9" xfId="771" xr:uid="{00000000-0005-0000-0000-00008D020000}"/>
    <cellStyle name="PET_Heading3N_PandL" xfId="772" xr:uid="{00000000-0005-0000-0000-00008E020000}"/>
    <cellStyle name="Positif" xfId="278" xr:uid="{00000000-0005-0000-0000-00008F020000}"/>
    <cellStyle name="Pourcentage" xfId="2" builtinId="5"/>
    <cellStyle name="Pourcentage 2" xfId="49" xr:uid="{00000000-0005-0000-0000-000091020000}"/>
    <cellStyle name="Pourcentage 2 2" xfId="280" xr:uid="{00000000-0005-0000-0000-000092020000}"/>
    <cellStyle name="Pourcentage 2 2 2" xfId="281" xr:uid="{00000000-0005-0000-0000-000093020000}"/>
    <cellStyle name="Pourcentage 2 2 2 2" xfId="282" xr:uid="{00000000-0005-0000-0000-000094020000}"/>
    <cellStyle name="Pourcentage 2 2 3" xfId="283" xr:uid="{00000000-0005-0000-0000-000095020000}"/>
    <cellStyle name="Pourcentage 2 2 4" xfId="284" xr:uid="{00000000-0005-0000-0000-000096020000}"/>
    <cellStyle name="Pourcentage 2 3" xfId="285" xr:uid="{00000000-0005-0000-0000-000097020000}"/>
    <cellStyle name="Pourcentage 2 4" xfId="286" xr:uid="{00000000-0005-0000-0000-000098020000}"/>
    <cellStyle name="Pourcentage 2 5" xfId="287" xr:uid="{00000000-0005-0000-0000-000099020000}"/>
    <cellStyle name="Pourcentage 2 6" xfId="279" xr:uid="{00000000-0005-0000-0000-00009A020000}"/>
    <cellStyle name="Pourcentage 3" xfId="288" xr:uid="{00000000-0005-0000-0000-00009B020000}"/>
    <cellStyle name="Pourcentage 3 2" xfId="289" xr:uid="{00000000-0005-0000-0000-00009C020000}"/>
    <cellStyle name="Pourcentage 3 2 2" xfId="290" xr:uid="{00000000-0005-0000-0000-00009D020000}"/>
    <cellStyle name="Pourcentage 3 2 2 2" xfId="291" xr:uid="{00000000-0005-0000-0000-00009E020000}"/>
    <cellStyle name="Pourcentage 3 2 3" xfId="292" xr:uid="{00000000-0005-0000-0000-00009F020000}"/>
    <cellStyle name="Pourcentage 3 2 4" xfId="293" xr:uid="{00000000-0005-0000-0000-0000A0020000}"/>
    <cellStyle name="Pourcentage 3 3" xfId="294" xr:uid="{00000000-0005-0000-0000-0000A1020000}"/>
    <cellStyle name="Pourcentage 3 3 2" xfId="295" xr:uid="{00000000-0005-0000-0000-0000A2020000}"/>
    <cellStyle name="Pourcentage 3 4" xfId="296" xr:uid="{00000000-0005-0000-0000-0000A3020000}"/>
    <cellStyle name="Pourcentage 3 5" xfId="297" xr:uid="{00000000-0005-0000-0000-0000A4020000}"/>
    <cellStyle name="Pourcentage 4" xfId="298" xr:uid="{00000000-0005-0000-0000-0000A5020000}"/>
    <cellStyle name="Pourcentage 4 2" xfId="459" xr:uid="{00000000-0005-0000-0000-0000A6020000}"/>
    <cellStyle name="Pourcentage 5" xfId="299" xr:uid="{00000000-0005-0000-0000-0000A7020000}"/>
    <cellStyle name="Pourcentage 6" xfId="300" xr:uid="{00000000-0005-0000-0000-0000A8020000}"/>
    <cellStyle name="Pourcentage 7" xfId="323" xr:uid="{00000000-0005-0000-0000-0000A9020000}"/>
    <cellStyle name="Pourcentage 8" xfId="324" xr:uid="{00000000-0005-0000-0000-0000AA020000}"/>
    <cellStyle name="Pourcentage 9" xfId="325" xr:uid="{00000000-0005-0000-0000-0000AB020000}"/>
    <cellStyle name="Pourcentage entier" xfId="380" xr:uid="{00000000-0005-0000-0000-0000AC020000}"/>
    <cellStyle name="Recopier" xfId="301" xr:uid="{00000000-0005-0000-0000-0000AD020000}"/>
    <cellStyle name="Retour ligne" xfId="302" xr:uid="{00000000-0005-0000-0000-0000AE020000}"/>
    <cellStyle name="SAPBEXstdItem" xfId="381" xr:uid="{00000000-0005-0000-0000-0000AF020000}"/>
    <cellStyle name="SAPBEXstdItem 2" xfId="530" xr:uid="{00000000-0005-0000-0000-0000B0020000}"/>
    <cellStyle name="SAPBEXstdItem 2 2" xfId="531" xr:uid="{00000000-0005-0000-0000-0000B1020000}"/>
    <cellStyle name="SAPBEXstdItem 2 2 2" xfId="662" xr:uid="{00000000-0005-0000-0000-0000B2020000}"/>
    <cellStyle name="SAPBEXstdItem 2 2 3" xfId="745" xr:uid="{00000000-0005-0000-0000-0000B3020000}"/>
    <cellStyle name="SAPBEXstdItem 2 3" xfId="532" xr:uid="{00000000-0005-0000-0000-0000B4020000}"/>
    <cellStyle name="SAPBEXstdItem 2 3 2" xfId="663" xr:uid="{00000000-0005-0000-0000-0000B5020000}"/>
    <cellStyle name="SAPBEXstdItem 2 3 3" xfId="746" xr:uid="{00000000-0005-0000-0000-0000B6020000}"/>
    <cellStyle name="SAPBEXstdItem 2 4" xfId="533" xr:uid="{00000000-0005-0000-0000-0000B7020000}"/>
    <cellStyle name="SAPBEXstdItem 2 4 2" xfId="664" xr:uid="{00000000-0005-0000-0000-0000B8020000}"/>
    <cellStyle name="SAPBEXstdItem 2 4 3" xfId="747" xr:uid="{00000000-0005-0000-0000-0000B9020000}"/>
    <cellStyle name="SAPBEXstdItem 2 5" xfId="534" xr:uid="{00000000-0005-0000-0000-0000BA020000}"/>
    <cellStyle name="SAPBEXstdItem 2 5 2" xfId="665" xr:uid="{00000000-0005-0000-0000-0000BB020000}"/>
    <cellStyle name="SAPBEXstdItem 2 5 3" xfId="748" xr:uid="{00000000-0005-0000-0000-0000BC020000}"/>
    <cellStyle name="SAPBEXstdItem 2 6" xfId="535" xr:uid="{00000000-0005-0000-0000-0000BD020000}"/>
    <cellStyle name="SAPBEXstdItem 2 6 2" xfId="666" xr:uid="{00000000-0005-0000-0000-0000BE020000}"/>
    <cellStyle name="SAPBEXstdItem 2 6 3" xfId="749" xr:uid="{00000000-0005-0000-0000-0000BF020000}"/>
    <cellStyle name="SAPBEXstdItem 2 7" xfId="536" xr:uid="{00000000-0005-0000-0000-0000C0020000}"/>
    <cellStyle name="SAPBEXstdItem 2 7 2" xfId="667" xr:uid="{00000000-0005-0000-0000-0000C1020000}"/>
    <cellStyle name="SAPBEXstdItem 2 7 3" xfId="750" xr:uid="{00000000-0005-0000-0000-0000C2020000}"/>
    <cellStyle name="SAPBEXstdItem 2 8" xfId="661" xr:uid="{00000000-0005-0000-0000-0000C3020000}"/>
    <cellStyle name="SAPBEXstdItem 2 9" xfId="744" xr:uid="{00000000-0005-0000-0000-0000C4020000}"/>
    <cellStyle name="SAPBEXstdItem 3" xfId="537" xr:uid="{00000000-0005-0000-0000-0000C5020000}"/>
    <cellStyle name="SAPBEXstdItem 3 2" xfId="668" xr:uid="{00000000-0005-0000-0000-0000C6020000}"/>
    <cellStyle name="SAPBEXstdItem 3 3" xfId="751" xr:uid="{00000000-0005-0000-0000-0000C7020000}"/>
    <cellStyle name="SAPBEXstdItem 4" xfId="559" xr:uid="{00000000-0005-0000-0000-0000C8020000}"/>
    <cellStyle name="SAPBEXstdItem 4 2" xfId="681" xr:uid="{00000000-0005-0000-0000-0000C9020000}"/>
    <cellStyle name="SAPBEXstdItem 4 3" xfId="764" xr:uid="{00000000-0005-0000-0000-0000CA020000}"/>
    <cellStyle name="SAPBEXstdItem 5" xfId="588" xr:uid="{00000000-0005-0000-0000-0000CB020000}"/>
    <cellStyle name="SAPBEXstdItem 6" xfId="567" xr:uid="{00000000-0005-0000-0000-0000CC020000}"/>
    <cellStyle name="Satisfaisant 2" xfId="303" xr:uid="{00000000-0005-0000-0000-0000CD020000}"/>
    <cellStyle name="Sortie 2" xfId="304" xr:uid="{00000000-0005-0000-0000-0000CE020000}"/>
    <cellStyle name="Sortie 2 2" xfId="460" xr:uid="{00000000-0005-0000-0000-0000CF020000}"/>
    <cellStyle name="Sortie 2 2 2" xfId="599" xr:uid="{00000000-0005-0000-0000-0000D0020000}"/>
    <cellStyle name="Sortie 2 2 3" xfId="564" xr:uid="{00000000-0005-0000-0000-0000D1020000}"/>
    <cellStyle name="Sortie 2 3" xfId="538" xr:uid="{00000000-0005-0000-0000-0000D2020000}"/>
    <cellStyle name="Sortie 2 3 2" xfId="669" xr:uid="{00000000-0005-0000-0000-0000D3020000}"/>
    <cellStyle name="Sortie 2 3 3" xfId="752" xr:uid="{00000000-0005-0000-0000-0000D4020000}"/>
    <cellStyle name="Sortie 2 4" xfId="539" xr:uid="{00000000-0005-0000-0000-0000D5020000}"/>
    <cellStyle name="Sortie 2 4 2" xfId="670" xr:uid="{00000000-0005-0000-0000-0000D6020000}"/>
    <cellStyle name="Sortie 2 4 3" xfId="753" xr:uid="{00000000-0005-0000-0000-0000D7020000}"/>
    <cellStyle name="Sortie 2 5" xfId="540" xr:uid="{00000000-0005-0000-0000-0000D8020000}"/>
    <cellStyle name="Sortie 2 5 2" xfId="671" xr:uid="{00000000-0005-0000-0000-0000D9020000}"/>
    <cellStyle name="Sortie 2 5 3" xfId="754" xr:uid="{00000000-0005-0000-0000-0000DA020000}"/>
    <cellStyle name="Sortie 2 6" xfId="541" xr:uid="{00000000-0005-0000-0000-0000DB020000}"/>
    <cellStyle name="Sortie 2 6 2" xfId="672" xr:uid="{00000000-0005-0000-0000-0000DC020000}"/>
    <cellStyle name="Sortie 2 6 3" xfId="755" xr:uid="{00000000-0005-0000-0000-0000DD020000}"/>
    <cellStyle name="Sortie 2 7" xfId="583" xr:uid="{00000000-0005-0000-0000-0000DE020000}"/>
    <cellStyle name="Sortie 2 8" xfId="593" xr:uid="{00000000-0005-0000-0000-0000DF020000}"/>
    <cellStyle name="Standard_Kost 0102 nach GL" xfId="382" xr:uid="{00000000-0005-0000-0000-0000E0020000}"/>
    <cellStyle name="Statutory Holiday" xfId="383" xr:uid="{00000000-0005-0000-0000-0000E1020000}"/>
    <cellStyle name="Stock Check" xfId="384" xr:uid="{00000000-0005-0000-0000-0000E2020000}"/>
    <cellStyle name="Style 1" xfId="305" xr:uid="{00000000-0005-0000-0000-0000E3020000}"/>
    <cellStyle name="Style 1 2" xfId="306" xr:uid="{00000000-0005-0000-0000-0000E4020000}"/>
    <cellStyle name="subhead" xfId="385" xr:uid="{00000000-0005-0000-0000-0000E5020000}"/>
    <cellStyle name="Texte explicatif 2" xfId="307" xr:uid="{00000000-0005-0000-0000-0000E6020000}"/>
    <cellStyle name="Title" xfId="308" xr:uid="{00000000-0005-0000-0000-0000E7020000}"/>
    <cellStyle name="Titre 2" xfId="309" xr:uid="{00000000-0005-0000-0000-0000E8020000}"/>
    <cellStyle name="Titre 2 2" xfId="311" xr:uid="{00000000-0005-0000-0000-0000E9020000}"/>
    <cellStyle name="Titre 1 2" xfId="310" xr:uid="{00000000-0005-0000-0000-0000EA020000}"/>
    <cellStyle name="Titre 1 2 2" xfId="461" xr:uid="{00000000-0005-0000-0000-0000EB020000}"/>
    <cellStyle name="Titre 2 2 2" xfId="462" xr:uid="{00000000-0005-0000-0000-0000EC020000}"/>
    <cellStyle name="Titre 3 2" xfId="312" xr:uid="{00000000-0005-0000-0000-0000ED020000}"/>
    <cellStyle name="Titre 3 2 2" xfId="463" xr:uid="{00000000-0005-0000-0000-0000EE020000}"/>
    <cellStyle name="Titre 4 2" xfId="313" xr:uid="{00000000-0005-0000-0000-0000EF020000}"/>
    <cellStyle name="Titre 4 2 2" xfId="464" xr:uid="{00000000-0005-0000-0000-0000F0020000}"/>
    <cellStyle name="TitreSérie" xfId="386" xr:uid="{00000000-0005-0000-0000-0000F1020000}"/>
    <cellStyle name="Total 2" xfId="314" xr:uid="{00000000-0005-0000-0000-0000F2020000}"/>
    <cellStyle name="Total 2 2" xfId="465" xr:uid="{00000000-0005-0000-0000-0000F3020000}"/>
    <cellStyle name="Total 2 2 2" xfId="601" xr:uid="{00000000-0005-0000-0000-0000F4020000}"/>
    <cellStyle name="Total 2 2 3" xfId="682" xr:uid="{00000000-0005-0000-0000-0000F5020000}"/>
    <cellStyle name="Total 2 3" xfId="542" xr:uid="{00000000-0005-0000-0000-0000F6020000}"/>
    <cellStyle name="Total 2 3 2" xfId="673" xr:uid="{00000000-0005-0000-0000-0000F7020000}"/>
    <cellStyle name="Total 2 3 3" xfId="756" xr:uid="{00000000-0005-0000-0000-0000F8020000}"/>
    <cellStyle name="Total 2 4" xfId="543" xr:uid="{00000000-0005-0000-0000-0000F9020000}"/>
    <cellStyle name="Total 2 4 2" xfId="674" xr:uid="{00000000-0005-0000-0000-0000FA020000}"/>
    <cellStyle name="Total 2 4 3" xfId="757" xr:uid="{00000000-0005-0000-0000-0000FB020000}"/>
    <cellStyle name="Total 2 5" xfId="544" xr:uid="{00000000-0005-0000-0000-0000FC020000}"/>
    <cellStyle name="Total 2 5 2" xfId="675" xr:uid="{00000000-0005-0000-0000-0000FD020000}"/>
    <cellStyle name="Total 2 5 3" xfId="758" xr:uid="{00000000-0005-0000-0000-0000FE020000}"/>
    <cellStyle name="Total 2 6" xfId="545" xr:uid="{00000000-0005-0000-0000-0000FF020000}"/>
    <cellStyle name="Total 2 6 2" xfId="676" xr:uid="{00000000-0005-0000-0000-000000030000}"/>
    <cellStyle name="Total 2 6 3" xfId="759" xr:uid="{00000000-0005-0000-0000-000001030000}"/>
    <cellStyle name="Total 2 7" xfId="585" xr:uid="{00000000-0005-0000-0000-000002030000}"/>
    <cellStyle name="Total 2 8" xfId="592" xr:uid="{00000000-0005-0000-0000-000003030000}"/>
    <cellStyle name="TypeDonnée" xfId="387" xr:uid="{00000000-0005-0000-0000-000004030000}"/>
    <cellStyle name="Variation" xfId="388" xr:uid="{00000000-0005-0000-0000-000005030000}"/>
    <cellStyle name="Vérification 2" xfId="315" xr:uid="{00000000-0005-0000-0000-000006030000}"/>
    <cellStyle name="Virgule0" xfId="389" xr:uid="{00000000-0005-0000-0000-000007030000}"/>
    <cellStyle name="Virgule0 2" xfId="466" xr:uid="{00000000-0005-0000-0000-000008030000}"/>
    <cellStyle name="Währung" xfId="326" xr:uid="{00000000-0005-0000-0000-000009030000}"/>
    <cellStyle name="Währung [0]_Kost 0102 nach GL" xfId="390" xr:uid="{00000000-0005-0000-0000-00000A030000}"/>
    <cellStyle name="Währung_Kost 0102 nach GL" xfId="391" xr:uid="{00000000-0005-0000-0000-00000B030000}"/>
    <cellStyle name="Warning Text" xfId="316" xr:uid="{00000000-0005-0000-0000-00000C030000}"/>
    <cellStyle name="콤마 [0]_  종  합  _010704 수주&amp;GM from 심양보-1" xfId="392" xr:uid="{00000000-0005-0000-0000-00000D030000}"/>
    <cellStyle name="콤마_작성요령" xfId="393" xr:uid="{00000000-0005-0000-0000-00000E030000}"/>
    <cellStyle name="표준_04.10.22경영비용" xfId="394" xr:uid="{00000000-0005-0000-0000-00000F030000}"/>
  </cellStyles>
  <dxfs count="0"/>
  <tableStyles count="0" defaultTableStyle="TableStyleMedium2" defaultPivotStyle="PivotStyleLight16"/>
  <colors>
    <mruColors>
      <color rgb="FF0000FF"/>
      <color rgb="FFFE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B1:AA137"/>
  <sheetViews>
    <sheetView showGridLines="0" tabSelected="1" zoomScale="85" zoomScaleNormal="85" workbookViewId="0">
      <selection activeCell="C57" sqref="C57"/>
    </sheetView>
  </sheetViews>
  <sheetFormatPr baseColWidth="10" defaultColWidth="11.42578125" defaultRowHeight="14.25" outlineLevelRow="1"/>
  <cols>
    <col min="1" max="1" width="11.42578125" style="4"/>
    <col min="2" max="2" width="75.140625" style="4" customWidth="1"/>
    <col min="3" max="3" width="38.5703125" style="4" customWidth="1"/>
    <col min="4" max="24" width="13.85546875" style="4" customWidth="1"/>
    <col min="25" max="25" width="3.85546875" style="4" customWidth="1"/>
    <col min="26" max="26" width="43" style="4" customWidth="1"/>
    <col min="27" max="27" width="12.5703125" style="4" customWidth="1"/>
    <col min="28" max="16384" width="11.42578125" style="4"/>
  </cols>
  <sheetData>
    <row r="1" spans="2:24">
      <c r="B1" s="19"/>
    </row>
    <row r="2" spans="2:24" ht="25.5">
      <c r="B2" s="29" t="s">
        <v>60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4" spans="2:24" ht="15">
      <c r="B4" s="30" t="s">
        <v>1</v>
      </c>
      <c r="C4" s="30"/>
    </row>
    <row r="5" spans="2:24" ht="6.75" customHeight="1"/>
    <row r="6" spans="2:24">
      <c r="B6" s="31" t="s">
        <v>44</v>
      </c>
      <c r="C6" s="32" t="s">
        <v>40</v>
      </c>
    </row>
    <row r="8" spans="2:24">
      <c r="B8" s="21" t="s">
        <v>33</v>
      </c>
      <c r="C8" s="27"/>
    </row>
    <row r="9" spans="2:24">
      <c r="B9" s="4" t="s">
        <v>0</v>
      </c>
      <c r="C9" s="2">
        <v>2023</v>
      </c>
    </row>
    <row r="10" spans="2:24">
      <c r="B10" s="4" t="s">
        <v>2</v>
      </c>
      <c r="C10" s="59">
        <v>2043</v>
      </c>
      <c r="F10" s="53"/>
    </row>
    <row r="11" spans="2:24">
      <c r="B11" s="4" t="s">
        <v>76</v>
      </c>
      <c r="C11" s="61">
        <v>0.25</v>
      </c>
    </row>
    <row r="13" spans="2:24">
      <c r="B13" s="21" t="s">
        <v>34</v>
      </c>
      <c r="C13" s="44" t="s">
        <v>62</v>
      </c>
    </row>
    <row r="14" spans="2:24">
      <c r="B14" s="4" t="s">
        <v>37</v>
      </c>
      <c r="C14" s="46" t="str">
        <f>IFERROR(IRR(Contrefactuel!D118:X118),"-")</f>
        <v>-</v>
      </c>
    </row>
    <row r="15" spans="2:24">
      <c r="B15" s="4" t="s">
        <v>45</v>
      </c>
      <c r="C15" s="47" t="str">
        <f>'RESERVE ADMIN Calcul aide'!C28</f>
        <v>-</v>
      </c>
    </row>
    <row r="17" spans="2:27">
      <c r="B17" s="21" t="s">
        <v>32</v>
      </c>
      <c r="C17" s="27"/>
    </row>
    <row r="18" spans="2:27">
      <c r="B18" s="4" t="s">
        <v>22</v>
      </c>
      <c r="C18" s="2">
        <v>13</v>
      </c>
    </row>
    <row r="19" spans="2:27">
      <c r="B19" s="19" t="s">
        <v>35</v>
      </c>
      <c r="C19" s="59">
        <v>2024</v>
      </c>
    </row>
    <row r="20" spans="2:27">
      <c r="B20" s="19" t="s">
        <v>23</v>
      </c>
      <c r="C20" s="24">
        <v>10</v>
      </c>
    </row>
    <row r="21" spans="2:27">
      <c r="B21" s="19" t="s">
        <v>24</v>
      </c>
      <c r="C21" s="16">
        <v>0.03</v>
      </c>
    </row>
    <row r="22" spans="2:27">
      <c r="B22" s="45" t="s">
        <v>63</v>
      </c>
      <c r="C22" s="16">
        <v>0</v>
      </c>
    </row>
    <row r="23" spans="2:27">
      <c r="B23" s="19"/>
      <c r="C23" s="19"/>
    </row>
    <row r="24" spans="2:27">
      <c r="B24" s="21" t="s">
        <v>41</v>
      </c>
      <c r="C24" s="27"/>
    </row>
    <row r="25" spans="2:27">
      <c r="B25" s="37" t="s">
        <v>68</v>
      </c>
      <c r="C25" s="58">
        <v>2030</v>
      </c>
    </row>
    <row r="27" spans="2:27">
      <c r="B27" s="37"/>
      <c r="C27" s="39"/>
    </row>
    <row r="28" spans="2:27" ht="15">
      <c r="B28" s="30" t="s">
        <v>78</v>
      </c>
      <c r="C28" s="3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Z28" s="30" t="s">
        <v>54</v>
      </c>
      <c r="AA28" s="30"/>
    </row>
    <row r="29" spans="2:27" ht="7.5" customHeight="1"/>
    <row r="30" spans="2:27">
      <c r="B30" s="27"/>
      <c r="C30" s="27"/>
      <c r="D30" s="54">
        <f>IF(C9=0,"-",C9)</f>
        <v>2023</v>
      </c>
      <c r="E30" s="54">
        <f t="shared" ref="E30:S30" si="0">IFERROR(IF($C$10&gt;=D30+1,D30+1,"-"),"-")</f>
        <v>2024</v>
      </c>
      <c r="F30" s="54">
        <f t="shared" si="0"/>
        <v>2025</v>
      </c>
      <c r="G30" s="54">
        <f t="shared" si="0"/>
        <v>2026</v>
      </c>
      <c r="H30" s="54">
        <f t="shared" si="0"/>
        <v>2027</v>
      </c>
      <c r="I30" s="54">
        <f t="shared" si="0"/>
        <v>2028</v>
      </c>
      <c r="J30" s="54">
        <f t="shared" si="0"/>
        <v>2029</v>
      </c>
      <c r="K30" s="54">
        <f t="shared" si="0"/>
        <v>2030</v>
      </c>
      <c r="L30" s="54">
        <f t="shared" si="0"/>
        <v>2031</v>
      </c>
      <c r="M30" s="54">
        <f t="shared" si="0"/>
        <v>2032</v>
      </c>
      <c r="N30" s="54">
        <f t="shared" si="0"/>
        <v>2033</v>
      </c>
      <c r="O30" s="3">
        <f t="shared" si="0"/>
        <v>2034</v>
      </c>
      <c r="P30" s="3">
        <f t="shared" si="0"/>
        <v>2035</v>
      </c>
      <c r="Q30" s="3">
        <f t="shared" si="0"/>
        <v>2036</v>
      </c>
      <c r="R30" s="3">
        <f t="shared" si="0"/>
        <v>2037</v>
      </c>
      <c r="S30" s="3">
        <f t="shared" si="0"/>
        <v>2038</v>
      </c>
      <c r="T30" s="3">
        <f t="shared" ref="T30" si="1">IFERROR(IF($C$10&gt;=S30+1,S30+1,"-"),"-")</f>
        <v>2039</v>
      </c>
      <c r="U30" s="3">
        <f t="shared" ref="U30" si="2">IFERROR(IF($C$10&gt;=T30+1,T30+1,"-"),"-")</f>
        <v>2040</v>
      </c>
      <c r="V30" s="3">
        <f t="shared" ref="V30" si="3">IFERROR(IF($C$10&gt;=U30+1,U30+1,"-"),"-")</f>
        <v>2041</v>
      </c>
      <c r="W30" s="3">
        <f t="shared" ref="W30" si="4">IFERROR(IF($C$10&gt;=V30+1,V30+1,"-"),"-")</f>
        <v>2042</v>
      </c>
      <c r="X30" s="3">
        <f t="shared" ref="X30" si="5">IFERROR(IF($C$10&gt;=W30+1,W30+1,"-"),"-")</f>
        <v>2043</v>
      </c>
      <c r="Z30" s="27"/>
      <c r="AA30" s="3">
        <f>C10</f>
        <v>2043</v>
      </c>
    </row>
    <row r="31" spans="2:27">
      <c r="B31" s="4" t="s">
        <v>4</v>
      </c>
      <c r="C31" s="8"/>
      <c r="D31" s="55">
        <v>0</v>
      </c>
      <c r="E31" s="63">
        <v>1.45</v>
      </c>
      <c r="F31" s="63">
        <v>3</v>
      </c>
      <c r="G31" s="63">
        <v>3.5459999999999998</v>
      </c>
      <c r="H31" s="63">
        <v>3.8849999999999998</v>
      </c>
      <c r="I31" s="55"/>
      <c r="J31" s="55"/>
      <c r="K31" s="55"/>
      <c r="L31" s="55"/>
      <c r="M31" s="55"/>
      <c r="N31" s="55"/>
      <c r="O31" s="18"/>
      <c r="P31" s="18"/>
      <c r="Q31" s="18"/>
      <c r="R31" s="18"/>
      <c r="S31" s="18"/>
      <c r="T31" s="18"/>
      <c r="U31" s="18"/>
      <c r="V31" s="18"/>
      <c r="W31" s="18"/>
      <c r="X31" s="18"/>
      <c r="Z31" s="4" t="s">
        <v>55</v>
      </c>
      <c r="AA31" s="4">
        <f>IF(SUM($D$31:$X$31)&gt;SUM($D$38:$X$38),SUM($D$31:$X$31)-SUM($D$38:$X$38),0)</f>
        <v>0</v>
      </c>
    </row>
    <row r="32" spans="2:27">
      <c r="B32" s="27" t="s">
        <v>9</v>
      </c>
      <c r="C32" s="26"/>
      <c r="D32" s="56"/>
      <c r="E32" s="64">
        <v>0.05</v>
      </c>
      <c r="F32" s="64">
        <v>0.6</v>
      </c>
      <c r="G32" s="64">
        <v>1</v>
      </c>
      <c r="H32" s="64">
        <v>0.05</v>
      </c>
      <c r="I32" s="56"/>
      <c r="J32" s="56"/>
      <c r="K32" s="56"/>
      <c r="L32" s="56"/>
      <c r="M32" s="56"/>
      <c r="N32" s="56"/>
      <c r="O32" s="11"/>
      <c r="P32" s="11"/>
      <c r="Q32" s="11"/>
      <c r="R32" s="11"/>
      <c r="S32" s="11"/>
      <c r="T32" s="11"/>
      <c r="U32" s="11"/>
      <c r="V32" s="11"/>
      <c r="W32" s="11"/>
      <c r="X32" s="11"/>
      <c r="Z32" s="27" t="s">
        <v>56</v>
      </c>
      <c r="AA32" s="27">
        <f>IF(SUM($D$32:$X$32)&gt;SUM($D$57:$X$57),SUM($D$32:$X$32)-SUM($D$57:$X$57),0)</f>
        <v>0.47750000000000004</v>
      </c>
    </row>
    <row r="33" spans="2:27">
      <c r="B33" s="4" t="s">
        <v>36</v>
      </c>
      <c r="C33" s="8"/>
      <c r="D33" s="4">
        <f>D32+D31</f>
        <v>0</v>
      </c>
      <c r="E33" s="22">
        <f t="shared" ref="E33:X33" si="6">IFERROR((E32+E31)/((1+$C$21)^(E30-$C$9)),0)</f>
        <v>1.4563106796116505</v>
      </c>
      <c r="F33" s="22">
        <f>IFERROR((F32+F31)/((1+$C$21)^(F30-$C$9)),0)</f>
        <v>3.3933452728815161</v>
      </c>
      <c r="G33" s="22">
        <f t="shared" si="6"/>
        <v>4.160233983419463</v>
      </c>
      <c r="H33" s="22">
        <f t="shared" si="6"/>
        <v>3.4961965335482357</v>
      </c>
      <c r="I33" s="4">
        <f t="shared" si="6"/>
        <v>0</v>
      </c>
      <c r="J33" s="4">
        <f t="shared" si="6"/>
        <v>0</v>
      </c>
      <c r="K33" s="4">
        <f t="shared" si="6"/>
        <v>0</v>
      </c>
      <c r="L33" s="4">
        <f t="shared" si="6"/>
        <v>0</v>
      </c>
      <c r="M33" s="4">
        <f t="shared" si="6"/>
        <v>0</v>
      </c>
      <c r="N33" s="4">
        <f t="shared" si="6"/>
        <v>0</v>
      </c>
      <c r="O33" s="4">
        <f t="shared" si="6"/>
        <v>0</v>
      </c>
      <c r="P33" s="4">
        <f t="shared" si="6"/>
        <v>0</v>
      </c>
      <c r="Q33" s="4">
        <f t="shared" si="6"/>
        <v>0</v>
      </c>
      <c r="R33" s="4">
        <f t="shared" si="6"/>
        <v>0</v>
      </c>
      <c r="S33" s="4">
        <f t="shared" si="6"/>
        <v>0</v>
      </c>
      <c r="X33" s="4">
        <f t="shared" si="6"/>
        <v>0</v>
      </c>
      <c r="Z33" s="4" t="s">
        <v>57</v>
      </c>
      <c r="AA33" s="4">
        <f>IFERROR((AA32+AA31)/((1+$C$21)^(AA30-$C$9)),0)</f>
        <v>0.26438017262397495</v>
      </c>
    </row>
    <row r="35" spans="2:27" ht="15">
      <c r="B35" s="30" t="s">
        <v>15</v>
      </c>
      <c r="C35" s="30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2:27" ht="6.75" customHeight="1"/>
    <row r="37" spans="2:27">
      <c r="B37" s="27"/>
      <c r="C37" s="27" t="s">
        <v>79</v>
      </c>
      <c r="D37" s="54">
        <f>D30</f>
        <v>2023</v>
      </c>
      <c r="E37" s="54">
        <f t="shared" ref="E37:X37" si="7">E30</f>
        <v>2024</v>
      </c>
      <c r="F37" s="54">
        <f t="shared" si="7"/>
        <v>2025</v>
      </c>
      <c r="G37" s="54">
        <f t="shared" si="7"/>
        <v>2026</v>
      </c>
      <c r="H37" s="54">
        <f t="shared" si="7"/>
        <v>2027</v>
      </c>
      <c r="I37" s="54">
        <f t="shared" si="7"/>
        <v>2028</v>
      </c>
      <c r="J37" s="54">
        <f t="shared" si="7"/>
        <v>2029</v>
      </c>
      <c r="K37" s="54">
        <f t="shared" si="7"/>
        <v>2030</v>
      </c>
      <c r="L37" s="54">
        <f t="shared" si="7"/>
        <v>2031</v>
      </c>
      <c r="M37" s="54">
        <f t="shared" si="7"/>
        <v>2032</v>
      </c>
      <c r="N37" s="54">
        <f t="shared" si="7"/>
        <v>2033</v>
      </c>
      <c r="O37" s="3">
        <f t="shared" si="7"/>
        <v>2034</v>
      </c>
      <c r="P37" s="3">
        <f t="shared" si="7"/>
        <v>2035</v>
      </c>
      <c r="Q37" s="3">
        <f t="shared" si="7"/>
        <v>2036</v>
      </c>
      <c r="R37" s="3">
        <f t="shared" si="7"/>
        <v>2037</v>
      </c>
      <c r="S37" s="3">
        <f t="shared" si="7"/>
        <v>2038</v>
      </c>
      <c r="T37" s="3">
        <f t="shared" si="7"/>
        <v>2039</v>
      </c>
      <c r="U37" s="3">
        <f t="shared" si="7"/>
        <v>2040</v>
      </c>
      <c r="V37" s="3">
        <f t="shared" si="7"/>
        <v>2041</v>
      </c>
      <c r="W37" s="3">
        <f t="shared" si="7"/>
        <v>2042</v>
      </c>
      <c r="X37" s="3">
        <f t="shared" si="7"/>
        <v>2043</v>
      </c>
    </row>
    <row r="38" spans="2:27">
      <c r="B38" s="4" t="s">
        <v>13</v>
      </c>
      <c r="C38" s="6">
        <v>7</v>
      </c>
      <c r="D38" s="25">
        <f>SUM(D39:D55)</f>
        <v>0</v>
      </c>
      <c r="E38" s="25">
        <f t="shared" ref="E38:X38" si="8">SUM(E39:E55)</f>
        <v>0.20714285714285713</v>
      </c>
      <c r="F38" s="25">
        <f t="shared" si="8"/>
        <v>0.63571428571428568</v>
      </c>
      <c r="G38" s="25">
        <f t="shared" si="8"/>
        <v>1.1422857142857143</v>
      </c>
      <c r="H38" s="25">
        <f t="shared" si="8"/>
        <v>1.6972857142857143</v>
      </c>
      <c r="I38" s="25">
        <f t="shared" si="8"/>
        <v>1.6972857142857143</v>
      </c>
      <c r="J38" s="25">
        <f t="shared" si="8"/>
        <v>1.6972857142857143</v>
      </c>
      <c r="K38" s="25">
        <f t="shared" si="8"/>
        <v>1.6972857142857143</v>
      </c>
      <c r="L38" s="25">
        <f t="shared" si="8"/>
        <v>1.490142857142857</v>
      </c>
      <c r="M38" s="25">
        <f t="shared" si="8"/>
        <v>1.0615714285714284</v>
      </c>
      <c r="N38" s="25">
        <f t="shared" si="8"/>
        <v>0.55499999999999994</v>
      </c>
      <c r="O38" s="20">
        <f t="shared" si="8"/>
        <v>0</v>
      </c>
      <c r="P38" s="20">
        <f t="shared" si="8"/>
        <v>0</v>
      </c>
      <c r="Q38" s="20">
        <f t="shared" si="8"/>
        <v>0</v>
      </c>
      <c r="R38" s="20">
        <f t="shared" si="8"/>
        <v>0</v>
      </c>
      <c r="S38" s="20">
        <f t="shared" si="8"/>
        <v>0</v>
      </c>
      <c r="T38" s="20"/>
      <c r="U38" s="20"/>
      <c r="V38" s="20"/>
      <c r="W38" s="20"/>
      <c r="X38" s="20">
        <f t="shared" si="8"/>
        <v>0</v>
      </c>
    </row>
    <row r="39" spans="2:27" hidden="1" outlineLevel="1">
      <c r="B39" s="33">
        <f>D30</f>
        <v>2023</v>
      </c>
      <c r="C39" s="6">
        <f t="shared" ref="C39:C55" si="9">$C$38</f>
        <v>7</v>
      </c>
      <c r="D39" s="4">
        <f>IFERROR(IF(D$31&gt;0,D$31/$C$39,0),0)</f>
        <v>0</v>
      </c>
      <c r="E39" s="4">
        <f>IFERROR(IF(SUM($D39:D39)=$D31,0,$D31/$C39),0)</f>
        <v>0</v>
      </c>
      <c r="F39" s="4">
        <f>IFERROR(IF(SUM($D39:E39)=$D31,0,$D31/$C39),0)</f>
        <v>0</v>
      </c>
      <c r="G39" s="4">
        <f>IFERROR(IF(SUM($D39:F39)=$D31,0,$D31/$C39),0)</f>
        <v>0</v>
      </c>
      <c r="H39" s="4">
        <f>IFERROR(IF(SUM($D39:G39)=$D31,0,$D31/$C39),0)</f>
        <v>0</v>
      </c>
      <c r="I39" s="4">
        <f>IFERROR(IF(SUM($D39:H39)=$D31,0,$D31/$C39),0)</f>
        <v>0</v>
      </c>
      <c r="J39" s="4">
        <f>IFERROR(IF(SUM($D39:I39)=$D31,0,$D31/$C39),0)</f>
        <v>0</v>
      </c>
      <c r="K39" s="4">
        <f>IFERROR(IF(SUM($D39:J39)=$D31,0,$D31/$C39),0)</f>
        <v>0</v>
      </c>
      <c r="L39" s="4">
        <f>IFERROR(IF(SUM($D39:K39)=$D31,0,$D31/$C39),0)</f>
        <v>0</v>
      </c>
      <c r="M39" s="4">
        <f>IFERROR(IF(SUM($D39:L39)=$D31,0,$D31/$C39),0)</f>
        <v>0</v>
      </c>
      <c r="N39" s="4">
        <f>IFERROR(IF(SUM($D39:M39)=$D31,0,$D31/$C39),0)</f>
        <v>0</v>
      </c>
      <c r="O39" s="22">
        <f>IFERROR(IF(SUM($D39:N39)=$D31,0,$D31/$C39),0)</f>
        <v>0</v>
      </c>
      <c r="P39" s="22">
        <f>IFERROR(IF(SUM($D39:O39)=$D31,0,$D31/$C39),0)</f>
        <v>0</v>
      </c>
      <c r="Q39" s="22">
        <f>IFERROR(IF(SUM($D39:P39)=$D31,0,$D31/$C39),0)</f>
        <v>0</v>
      </c>
      <c r="R39" s="22">
        <f>IFERROR(IF(SUM($D39:Q39)=$D31,0,$D31/$C39),0)</f>
        <v>0</v>
      </c>
      <c r="S39" s="22">
        <f>IFERROR(IF(SUM($D39:R39)=$D31,0,$D31/$C39),0)</f>
        <v>0</v>
      </c>
      <c r="T39" s="22"/>
      <c r="U39" s="22"/>
      <c r="V39" s="22"/>
      <c r="W39" s="22"/>
      <c r="X39" s="22">
        <f>IFERROR(IF(SUM($D39:S39)=$D31,0,$D31/$C39),0)</f>
        <v>0</v>
      </c>
    </row>
    <row r="40" spans="2:27" hidden="1" outlineLevel="1">
      <c r="B40" s="33">
        <f>E30</f>
        <v>2024</v>
      </c>
      <c r="C40" s="6">
        <f t="shared" si="9"/>
        <v>7</v>
      </c>
      <c r="E40" s="4">
        <f>IFERROR(IF(E$31&gt;0,E$31/$C40,0),0)</f>
        <v>0.20714285714285713</v>
      </c>
      <c r="F40" s="4">
        <f>IFERROR(IF(SUM($D40:E40)=$E31,0,$E31/$C40),0)</f>
        <v>0.20714285714285713</v>
      </c>
      <c r="G40" s="4">
        <f>IFERROR(IF(SUM($D40:F40)=$E31,0,$E31/$C40),0)</f>
        <v>0.20714285714285713</v>
      </c>
      <c r="H40" s="4">
        <f>IFERROR(IF(SUM($D40:G40)=$E31,0,$E31/$C40),0)</f>
        <v>0.20714285714285713</v>
      </c>
      <c r="I40" s="4">
        <f>IFERROR(IF(SUM($D40:H40)=$E31,0,$E31/$C40),0)</f>
        <v>0.20714285714285713</v>
      </c>
      <c r="J40" s="4">
        <f>IFERROR(IF(SUM($D40:I40)=$E31,0,$E31/$C40),0)</f>
        <v>0.20714285714285713</v>
      </c>
      <c r="K40" s="4">
        <f>IFERROR(IF(SUM($D40:J40)=$E31,0,$E31/$C40),0)</f>
        <v>0.20714285714285713</v>
      </c>
      <c r="L40" s="4">
        <f>IFERROR(IF(SUM($D40:K40)=$E31,0,$E31/$C40),0)</f>
        <v>0</v>
      </c>
      <c r="M40" s="4">
        <f>IFERROR(IF(SUM($D40:L40)=$E31,0,$E31/$C40),0)</f>
        <v>0</v>
      </c>
      <c r="N40" s="4">
        <f>IFERROR(IF(SUM($D40:M40)=$E31,0,$E31/$C40),0)</f>
        <v>0</v>
      </c>
      <c r="O40" s="22">
        <f>IFERROR(IF(SUM($D40:N40)=$E31,0,$E31/$C40),0)</f>
        <v>0</v>
      </c>
      <c r="P40" s="22">
        <f>IFERROR(IF(SUM($D40:O40)=$E31,0,$E31/$C40),0)</f>
        <v>0</v>
      </c>
      <c r="Q40" s="22">
        <f>IFERROR(IF(SUM($D40:P40)=$E31,0,$E31/$C40),0)</f>
        <v>0</v>
      </c>
      <c r="R40" s="22">
        <f>IFERROR(IF(SUM($D40:Q40)=$E31,0,$E31/$C40),0)</f>
        <v>0</v>
      </c>
      <c r="S40" s="22">
        <f>IFERROR(IF(SUM($D40:R40)=$E31,0,$E31/$C40),0)</f>
        <v>0</v>
      </c>
      <c r="T40" s="22"/>
      <c r="U40" s="22"/>
      <c r="V40" s="22"/>
      <c r="W40" s="22"/>
      <c r="X40" s="22">
        <f>IFERROR(IF(SUM($D40:S40)=$E31,0,$E31/$C40),0)</f>
        <v>0</v>
      </c>
    </row>
    <row r="41" spans="2:27" hidden="1" outlineLevel="1">
      <c r="B41" s="33">
        <f>F30</f>
        <v>2025</v>
      </c>
      <c r="C41" s="6">
        <f t="shared" si="9"/>
        <v>7</v>
      </c>
      <c r="F41" s="4">
        <f>IFERROR(IF(F$31&gt;0,F$31/$C41,0),0)</f>
        <v>0.42857142857142855</v>
      </c>
      <c r="G41" s="4">
        <f>IFERROR(IF(SUM($D41:F41)=$F31,0,$F31/$C41),0)</f>
        <v>0.42857142857142855</v>
      </c>
      <c r="H41" s="4">
        <f>IFERROR(IF(SUM($D41:G41)=$F31,0,$F31/$C41),0)</f>
        <v>0.42857142857142855</v>
      </c>
      <c r="I41" s="4">
        <f>IFERROR(IF(SUM($D41:H41)=$F31,0,$F31/$C41),0)</f>
        <v>0.42857142857142855</v>
      </c>
      <c r="J41" s="4">
        <f>IFERROR(IF(SUM($D41:I41)=$F31,0,$F31/$C41),0)</f>
        <v>0.42857142857142855</v>
      </c>
      <c r="K41" s="4">
        <f>IFERROR(IF(SUM($D41:J41)=$F31,0,$F31/$C41),0)</f>
        <v>0.42857142857142855</v>
      </c>
      <c r="L41" s="4">
        <f>IFERROR(IF(SUM($D41:K41)=$F31,0,$F31/$C41),0)</f>
        <v>0.42857142857142855</v>
      </c>
      <c r="M41" s="4">
        <f>IFERROR(IF(SUM($D41:L41)=$F31,0,$F31/$C41),0)</f>
        <v>0</v>
      </c>
      <c r="N41" s="4">
        <f>IFERROR(IF(SUM($D41:M41)=$F31,0,$F31/$C41),0)</f>
        <v>0</v>
      </c>
      <c r="O41" s="22">
        <f>IFERROR(IF(SUM($D41:N41)=$F31,0,$F31/$C41),0)</f>
        <v>0</v>
      </c>
      <c r="P41" s="22">
        <f>IFERROR(IF(SUM($D41:O41)=$F31,0,$F31/$C41),0)</f>
        <v>0</v>
      </c>
      <c r="Q41" s="22">
        <f>IFERROR(IF(SUM($D41:P41)=$F31,0,$F31/$C41),0)</f>
        <v>0</v>
      </c>
      <c r="R41" s="22">
        <f>IFERROR(IF(SUM($D41:Q41)=$F31,0,$F31/$C41),0)</f>
        <v>0</v>
      </c>
      <c r="S41" s="22">
        <f>IFERROR(IF(SUM($D41:R41)=$F31,0,$F31/$C41),0)</f>
        <v>0</v>
      </c>
      <c r="T41" s="22"/>
      <c r="U41" s="22"/>
      <c r="V41" s="22"/>
      <c r="W41" s="22"/>
      <c r="X41" s="22">
        <f>IFERROR(IF(SUM($D41:S41)=$F31,0,$F31/$C41),0)</f>
        <v>0</v>
      </c>
    </row>
    <row r="42" spans="2:27" hidden="1" outlineLevel="1">
      <c r="B42" s="33">
        <f>G30</f>
        <v>2026</v>
      </c>
      <c r="C42" s="6">
        <f t="shared" si="9"/>
        <v>7</v>
      </c>
      <c r="G42" s="4">
        <f>IFERROR(IF(G$31&gt;0,G$31/$C42,0),0)</f>
        <v>0.50657142857142856</v>
      </c>
      <c r="H42" s="4">
        <f>IFERROR(IF(SUM($D42:G42)=$G31,0,$G31/$C42),0)</f>
        <v>0.50657142857142856</v>
      </c>
      <c r="I42" s="4">
        <f>IFERROR(IF(SUM($D42:H42)=$G31,0,$G31/$C42),0)</f>
        <v>0.50657142857142856</v>
      </c>
      <c r="J42" s="4">
        <f>IFERROR(IF(SUM($D42:I42)=$G31,0,$G31/$C42),0)</f>
        <v>0.50657142857142856</v>
      </c>
      <c r="K42" s="4">
        <f>IFERROR(IF(SUM($D42:J42)=$G31,0,$G31/$C42),0)</f>
        <v>0.50657142857142856</v>
      </c>
      <c r="L42" s="4">
        <f>IFERROR(IF(SUM($D42:K42)=$G31,0,$G31/$C42),0)</f>
        <v>0.50657142857142856</v>
      </c>
      <c r="M42" s="4">
        <f>IFERROR(IF(SUM($D42:L42)=$G31,0,$G31/$C42),0)</f>
        <v>0.50657142857142856</v>
      </c>
      <c r="N42" s="4">
        <f>IFERROR(IF(SUM($D42:M42)=$G31,0,$G31/$C42),0)</f>
        <v>0</v>
      </c>
      <c r="O42" s="22">
        <f>IFERROR(IF(SUM($D42:N42)=$G31,0,$G31/$C42),0)</f>
        <v>0</v>
      </c>
      <c r="P42" s="22">
        <f>IFERROR(IF(SUM($D42:O42)=$G31,0,$G31/$C42),0)</f>
        <v>0</v>
      </c>
      <c r="Q42" s="22">
        <f>IFERROR(IF(SUM($D42:P42)=$G31,0,$G31/$C42),0)</f>
        <v>0</v>
      </c>
      <c r="R42" s="22">
        <f>IFERROR(IF(SUM($D42:Q42)=$G31,0,$G31/$C42),0)</f>
        <v>0</v>
      </c>
      <c r="S42" s="22">
        <f>IFERROR(IF(SUM($D42:R42)=$G31,0,$G31/$C42),0)</f>
        <v>0</v>
      </c>
      <c r="T42" s="22"/>
      <c r="U42" s="22"/>
      <c r="V42" s="22"/>
      <c r="W42" s="22"/>
      <c r="X42" s="22">
        <f>IFERROR(IF(SUM($D42:S42)=$G31,0,$G31/$C42),0)</f>
        <v>0</v>
      </c>
    </row>
    <row r="43" spans="2:27" hidden="1" outlineLevel="1">
      <c r="B43" s="33">
        <f>H30</f>
        <v>2027</v>
      </c>
      <c r="C43" s="6">
        <f t="shared" si="9"/>
        <v>7</v>
      </c>
      <c r="H43" s="4">
        <f>IFERROR(IF(H$31&gt;0,H$31/$C43,0),0)</f>
        <v>0.55499999999999994</v>
      </c>
      <c r="I43" s="4">
        <f>IFERROR(IF(SUM($D43:H43)=$H31,0,$H31/$C43),0)</f>
        <v>0.55499999999999994</v>
      </c>
      <c r="J43" s="4">
        <f>IFERROR(IF(SUM($D43:I43)=$H31,0,$H31/$C43),0)</f>
        <v>0.55499999999999994</v>
      </c>
      <c r="K43" s="4">
        <f>IFERROR(IF(SUM($D43:J43)=$H31,0,$H31/$C43),0)</f>
        <v>0.55499999999999994</v>
      </c>
      <c r="L43" s="4">
        <f>IFERROR(IF(SUM($D43:K43)=$H31,0,$H31/$C43),0)</f>
        <v>0.55499999999999994</v>
      </c>
      <c r="M43" s="4">
        <f>IFERROR(IF(SUM($D43:L43)=$H31,0,$H31/$C43),0)</f>
        <v>0.55499999999999994</v>
      </c>
      <c r="N43" s="4">
        <f>IFERROR(IF(SUM($D43:M43)=$H31,0,$H31/$C43),0)</f>
        <v>0.55499999999999994</v>
      </c>
      <c r="O43" s="22">
        <f>IFERROR(IF(SUM($D43:N43)=$H31,0,$H31/$C43),0)</f>
        <v>0</v>
      </c>
      <c r="P43" s="22">
        <f>IFERROR(IF(SUM($D43:O43)=$H31,0,$H31/$C43),0)</f>
        <v>0</v>
      </c>
      <c r="Q43" s="22">
        <f>IFERROR(IF(SUM($D43:P43)=$H31,0,$H31/$C43),0)</f>
        <v>0</v>
      </c>
      <c r="R43" s="22">
        <f>IFERROR(IF(SUM($D43:Q43)=$H31,0,$H31/$C43),0)</f>
        <v>0</v>
      </c>
      <c r="S43" s="22">
        <f>IFERROR(IF(SUM($D43:R43)=$H31,0,$H31/$C43),0)</f>
        <v>0</v>
      </c>
      <c r="T43" s="22"/>
      <c r="U43" s="22"/>
      <c r="V43" s="22"/>
      <c r="W43" s="22"/>
      <c r="X43" s="22">
        <f>IFERROR(IF(SUM($D43:S43)=$H31,0,$H31/$C43),0)</f>
        <v>0</v>
      </c>
    </row>
    <row r="44" spans="2:27" hidden="1" outlineLevel="1">
      <c r="B44" s="33">
        <f>I30</f>
        <v>2028</v>
      </c>
      <c r="C44" s="6">
        <f t="shared" si="9"/>
        <v>7</v>
      </c>
      <c r="I44" s="4">
        <f>IFERROR(IF(I$31&gt;0,I$31/$C44,0),0)</f>
        <v>0</v>
      </c>
      <c r="J44" s="4">
        <f>IFERROR(IF(SUM($D44:I44)=$I31,0,$I31/$C44),0)</f>
        <v>0</v>
      </c>
      <c r="K44" s="4">
        <f>IFERROR(IF(SUM($D44:J44)=$I31,0,$I31/$C44),0)</f>
        <v>0</v>
      </c>
      <c r="L44" s="4">
        <f>IFERROR(IF(SUM($D44:K44)=$I31,0,$I31/$C44),0)</f>
        <v>0</v>
      </c>
      <c r="M44" s="4">
        <f>IFERROR(IF(SUM($D44:L44)=$I31,0,$I31/$C44),0)</f>
        <v>0</v>
      </c>
      <c r="N44" s="4">
        <f>IFERROR(IF(SUM($D44:M44)=$I31,0,$I31/$C44),0)</f>
        <v>0</v>
      </c>
      <c r="O44" s="22">
        <f>IFERROR(IF(SUM($D44:N44)=$I31,0,$I31/$C44),0)</f>
        <v>0</v>
      </c>
      <c r="P44" s="22">
        <f>IFERROR(IF(SUM($D44:O44)=$I31,0,$I31/$C44),0)</f>
        <v>0</v>
      </c>
      <c r="Q44" s="22">
        <f>IFERROR(IF(SUM($D44:P44)=$I31,0,$I31/$C44),0)</f>
        <v>0</v>
      </c>
      <c r="R44" s="22">
        <f>IFERROR(IF(SUM($D44:Q44)=$I31,0,$I31/$C44),0)</f>
        <v>0</v>
      </c>
      <c r="S44" s="22">
        <f>IFERROR(IF(SUM($D44:R44)=$I31,0,$I31/$C44),0)</f>
        <v>0</v>
      </c>
      <c r="T44" s="22"/>
      <c r="U44" s="22"/>
      <c r="V44" s="22"/>
      <c r="W44" s="22"/>
      <c r="X44" s="22">
        <f>IFERROR(IF(SUM($D44:S44)=$I31,0,$I31/$C44),0)</f>
        <v>0</v>
      </c>
    </row>
    <row r="45" spans="2:27" hidden="1" outlineLevel="1">
      <c r="B45" s="33">
        <f>J30</f>
        <v>2029</v>
      </c>
      <c r="C45" s="6">
        <f t="shared" si="9"/>
        <v>7</v>
      </c>
      <c r="J45" s="4">
        <f>IFERROR(IF(J$31&gt;0,J$31/$C45,0),0)</f>
        <v>0</v>
      </c>
      <c r="K45" s="4">
        <f>IFERROR(IF(SUM($D45:J45)=$J31,0,$J31/$C45),0)</f>
        <v>0</v>
      </c>
      <c r="L45" s="4">
        <f>IFERROR(IF(SUM($D45:K45)=$J31,0,$J31/$C45),0)</f>
        <v>0</v>
      </c>
      <c r="M45" s="4">
        <f>IFERROR(IF(SUM($D45:L45)=$J31,0,$J31/$C45),0)</f>
        <v>0</v>
      </c>
      <c r="N45" s="4">
        <f>IFERROR(IF(SUM($D45:M45)=$J31,0,$J31/$C45),0)</f>
        <v>0</v>
      </c>
      <c r="O45" s="22">
        <f>IFERROR(IF(SUM($D45:N45)=$J31,0,$J31/$C45),0)</f>
        <v>0</v>
      </c>
      <c r="P45" s="22">
        <f>IFERROR(IF(SUM($D45:O45)=$J31,0,$J31/$C45),0)</f>
        <v>0</v>
      </c>
      <c r="Q45" s="22">
        <f>IFERROR(IF(SUM($D45:P45)=$J31,0,$J31/$C45),0)</f>
        <v>0</v>
      </c>
      <c r="R45" s="22">
        <f>IFERROR(IF(SUM($D45:Q45)=$J31,0,$J31/$C45),0)</f>
        <v>0</v>
      </c>
      <c r="S45" s="22">
        <f>IFERROR(IF(SUM($D45:R45)=$J31,0,$J31/$C45),0)</f>
        <v>0</v>
      </c>
      <c r="T45" s="22"/>
      <c r="U45" s="22"/>
      <c r="V45" s="22"/>
      <c r="W45" s="22"/>
      <c r="X45" s="22">
        <f>IFERROR(IF(SUM($D45:S45)=$J31,0,$J31/$C45),0)</f>
        <v>0</v>
      </c>
    </row>
    <row r="46" spans="2:27" hidden="1" outlineLevel="1">
      <c r="B46" s="33">
        <f>K30</f>
        <v>2030</v>
      </c>
      <c r="C46" s="6">
        <f t="shared" si="9"/>
        <v>7</v>
      </c>
      <c r="K46" s="4">
        <f>IFERROR(IF(K$31&gt;0,K$31/$C46,0),0)</f>
        <v>0</v>
      </c>
      <c r="L46" s="4">
        <f>IFERROR(IF(SUM($D46:K46)=$K31,0,$K31/$C46),0)</f>
        <v>0</v>
      </c>
      <c r="M46" s="4">
        <f>IFERROR(IF(SUM($D46:L46)=$K31,0,$K31/$C46),0)</f>
        <v>0</v>
      </c>
      <c r="N46" s="4">
        <f>IFERROR(IF(SUM($D46:M46)=$K31,0,$K31/$C46),0)</f>
        <v>0</v>
      </c>
      <c r="O46" s="22">
        <f>IFERROR(IF(SUM($D46:N46)=$K31,0,$K31/$C46),0)</f>
        <v>0</v>
      </c>
      <c r="P46" s="22">
        <f>IFERROR(IF(SUM($D46:O46)=$K31,0,$K31/$C46),0)</f>
        <v>0</v>
      </c>
      <c r="Q46" s="22">
        <f>IFERROR(IF(SUM($D46:P46)=$K31,0,$K31/$C46),0)</f>
        <v>0</v>
      </c>
      <c r="R46" s="22">
        <f>IFERROR(IF(SUM($D46:Q46)=$K31,0,$K31/$C46),0)</f>
        <v>0</v>
      </c>
      <c r="S46" s="22">
        <f>IFERROR(IF(SUM($D46:R46)=$K31,0,$K31/$C46),0)</f>
        <v>0</v>
      </c>
      <c r="T46" s="22"/>
      <c r="U46" s="22"/>
      <c r="V46" s="22"/>
      <c r="W46" s="22"/>
      <c r="X46" s="22">
        <f>IFERROR(IF(SUM($D46:S46)=$K31,0,$K31/$C46),0)</f>
        <v>0</v>
      </c>
    </row>
    <row r="47" spans="2:27" hidden="1" outlineLevel="1">
      <c r="B47" s="33">
        <f>L30</f>
        <v>2031</v>
      </c>
      <c r="C47" s="6">
        <f t="shared" si="9"/>
        <v>7</v>
      </c>
      <c r="L47" s="4">
        <f>IFERROR(IF(L$31&gt;0,L$31/$C47,0),0)</f>
        <v>0</v>
      </c>
      <c r="M47" s="4">
        <f>IFERROR(IF(SUM($D47:L47)=$L31,0,$L31/$C47),0)</f>
        <v>0</v>
      </c>
      <c r="N47" s="4">
        <f>IFERROR(IF(SUM($D47:M47)=$L31,0,$L31/$C47),0)</f>
        <v>0</v>
      </c>
      <c r="O47" s="22">
        <f>IFERROR(IF(SUM($D47:N47)=$L31,0,$L31/$C47),0)</f>
        <v>0</v>
      </c>
      <c r="P47" s="22">
        <f>IFERROR(IF(SUM($D47:O47)=$L31,0,$L31/$C47),0)</f>
        <v>0</v>
      </c>
      <c r="Q47" s="22">
        <f>IFERROR(IF(SUM($D47:P47)=$L31,0,$L31/$C47),0)</f>
        <v>0</v>
      </c>
      <c r="R47" s="22">
        <f>IFERROR(IF(SUM($D47:Q47)=$L31,0,$L31/$C47),0)</f>
        <v>0</v>
      </c>
      <c r="S47" s="22">
        <f>IFERROR(IF(SUM($D47:R47)=$L31,0,$L31/$C47),0)</f>
        <v>0</v>
      </c>
      <c r="T47" s="22"/>
      <c r="U47" s="22"/>
      <c r="V47" s="22"/>
      <c r="W47" s="22"/>
      <c r="X47" s="22">
        <f>IFERROR(IF(SUM($D47:S47)=$L31,0,$L31/$C47),0)</f>
        <v>0</v>
      </c>
    </row>
    <row r="48" spans="2:27" hidden="1" outlineLevel="1">
      <c r="B48" s="33">
        <f>M30</f>
        <v>2032</v>
      </c>
      <c r="C48" s="6">
        <f t="shared" si="9"/>
        <v>7</v>
      </c>
      <c r="M48" s="4">
        <f>IFERROR(IF(M$31&gt;0,M$31/$C48,0),0)</f>
        <v>0</v>
      </c>
      <c r="N48" s="4">
        <f>IFERROR(IF(SUM($D48:M48)=$M31,0,$M31/$C48),0)</f>
        <v>0</v>
      </c>
      <c r="O48" s="22">
        <f>IFERROR(IF(SUM($D48:N48)=$M31,0,$M31/$C48),0)</f>
        <v>0</v>
      </c>
      <c r="P48" s="22">
        <f>IFERROR(IF(SUM($D48:O48)=$M31,0,$M31/$C48),0)</f>
        <v>0</v>
      </c>
      <c r="Q48" s="22">
        <f>IFERROR(IF(SUM($D48:P48)=$M31,0,$M31/$C48),0)</f>
        <v>0</v>
      </c>
      <c r="R48" s="22">
        <f>IFERROR(IF(SUM($D48:Q48)=$M31,0,$M31/$C48),0)</f>
        <v>0</v>
      </c>
      <c r="S48" s="22">
        <f>IFERROR(IF(SUM($D48:R48)=$M31,0,$M31/$C48),0)</f>
        <v>0</v>
      </c>
      <c r="T48" s="22"/>
      <c r="U48" s="22"/>
      <c r="V48" s="22"/>
      <c r="W48" s="22"/>
      <c r="X48" s="22">
        <f>IFERROR(IF(SUM($D48:S48)=$M31,0,$M31/$C48),0)</f>
        <v>0</v>
      </c>
    </row>
    <row r="49" spans="2:24" hidden="1" outlineLevel="1">
      <c r="B49" s="33">
        <f>N30</f>
        <v>2033</v>
      </c>
      <c r="C49" s="6">
        <f t="shared" si="9"/>
        <v>7</v>
      </c>
      <c r="N49" s="4">
        <f>IFERROR(IF(N$31&gt;0,N$31/$C49,0),0)</f>
        <v>0</v>
      </c>
      <c r="O49" s="22">
        <f>IFERROR(IF(SUM($D49:N49)=$N31,0,$N31/$C49),0)</f>
        <v>0</v>
      </c>
      <c r="P49" s="22">
        <f>IFERROR(IF(SUM($D49:O49)=$N31,0,$N31/$C49),0)</f>
        <v>0</v>
      </c>
      <c r="Q49" s="22">
        <f>IFERROR(IF(SUM($D49:P49)=$N31,0,$N31/$C49),0)</f>
        <v>0</v>
      </c>
      <c r="R49" s="22">
        <f>IFERROR(IF(SUM($D49:Q49)=$N31,0,$N31/$C49),0)</f>
        <v>0</v>
      </c>
      <c r="S49" s="22">
        <f>IFERROR(IF(SUM($D49:R49)=$N31,0,$N31/$C49),0)</f>
        <v>0</v>
      </c>
      <c r="T49" s="22"/>
      <c r="U49" s="22"/>
      <c r="V49" s="22"/>
      <c r="W49" s="22"/>
      <c r="X49" s="22">
        <f>IFERROR(IF(SUM($D49:S49)=$N31,0,$N31/$C49),0)</f>
        <v>0</v>
      </c>
    </row>
    <row r="50" spans="2:24" hidden="1" outlineLevel="1">
      <c r="B50" s="33">
        <f>O30</f>
        <v>2034</v>
      </c>
      <c r="C50" s="6">
        <f t="shared" si="9"/>
        <v>7</v>
      </c>
      <c r="O50" s="22">
        <f>IFERROR(IF(O$31&gt;0,O$31/$C50,0),0)</f>
        <v>0</v>
      </c>
      <c r="P50" s="22">
        <f>IFERROR(IF(SUM($D50:O50)=$O31,0,$O31/$C50),0)</f>
        <v>0</v>
      </c>
      <c r="Q50" s="22">
        <f>IFERROR(IF(SUM($D50:P50)=$O31,0,$O31/$C50),0)</f>
        <v>0</v>
      </c>
      <c r="R50" s="22">
        <f>IFERROR(IF(SUM($D50:Q50)=$O31,0,$O31/$C50),0)</f>
        <v>0</v>
      </c>
      <c r="S50" s="22">
        <f>IFERROR(IF(SUM($D50:R50)=$O31,0,$O31/$C50),0)</f>
        <v>0</v>
      </c>
      <c r="T50" s="22"/>
      <c r="U50" s="22"/>
      <c r="V50" s="22"/>
      <c r="W50" s="22"/>
      <c r="X50" s="22">
        <f>IFERROR(IF(SUM($D50:S50)=$O31,0,$O31/$C50),0)</f>
        <v>0</v>
      </c>
    </row>
    <row r="51" spans="2:24" hidden="1" outlineLevel="1">
      <c r="B51" s="33">
        <f>P30</f>
        <v>2035</v>
      </c>
      <c r="C51" s="6">
        <f t="shared" si="9"/>
        <v>7</v>
      </c>
      <c r="O51" s="22"/>
      <c r="P51" s="22">
        <f>IFERROR(IF(P$31&gt;0,P$31/$C51,0),0)</f>
        <v>0</v>
      </c>
      <c r="Q51" s="22">
        <f>IFERROR(IF(SUM($D51:P51)=$P31,0,$P31/$C51),0)</f>
        <v>0</v>
      </c>
      <c r="R51" s="22">
        <f>IFERROR(IF(SUM($D51:Q51)=$P31,0,$P31/$C51),0)</f>
        <v>0</v>
      </c>
      <c r="S51" s="22">
        <f>IFERROR(IF(SUM($D51:R51)=$P31,0,$P31/$C51),0)</f>
        <v>0</v>
      </c>
      <c r="T51" s="22"/>
      <c r="U51" s="22"/>
      <c r="V51" s="22"/>
      <c r="W51" s="22"/>
      <c r="X51" s="22">
        <f>IFERROR(IF(SUM($D51:S51)=$P31,0,$P31/$C51),0)</f>
        <v>0</v>
      </c>
    </row>
    <row r="52" spans="2:24" hidden="1" outlineLevel="1">
      <c r="B52" s="33">
        <f>Q30</f>
        <v>2036</v>
      </c>
      <c r="C52" s="6">
        <f t="shared" si="9"/>
        <v>7</v>
      </c>
      <c r="O52" s="22"/>
      <c r="P52" s="22"/>
      <c r="Q52" s="22">
        <f>IFERROR(IF(Q$31&gt;0,Q$31/$C52,0),0)</f>
        <v>0</v>
      </c>
      <c r="R52" s="22">
        <f>IFERROR(IF(SUM($D52:Q52)=$Q31,0,$Q31/$C52),0)</f>
        <v>0</v>
      </c>
      <c r="S52" s="22">
        <f>IFERROR(IF(SUM($D52:R52)=$Q31,0,$Q31/$C52),0)</f>
        <v>0</v>
      </c>
      <c r="T52" s="22"/>
      <c r="U52" s="22"/>
      <c r="V52" s="22"/>
      <c r="W52" s="22"/>
      <c r="X52" s="22">
        <f>IFERROR(IF(SUM($D52:S52)=$Q31,0,$Q31/$C52),0)</f>
        <v>0</v>
      </c>
    </row>
    <row r="53" spans="2:24" hidden="1" outlineLevel="1">
      <c r="B53" s="33">
        <f>R30</f>
        <v>2037</v>
      </c>
      <c r="C53" s="6">
        <f t="shared" si="9"/>
        <v>7</v>
      </c>
      <c r="O53" s="22"/>
      <c r="P53" s="22"/>
      <c r="Q53" s="22"/>
      <c r="R53" s="22">
        <f>IFERROR(IF(R$31&gt;0,R$31/$C53,0),0)</f>
        <v>0</v>
      </c>
      <c r="S53" s="22">
        <f>IFERROR(IF(SUM($D53:R53)=$R31,0,$R31/$C53),0)</f>
        <v>0</v>
      </c>
      <c r="T53" s="22"/>
      <c r="U53" s="22"/>
      <c r="V53" s="22"/>
      <c r="W53" s="22"/>
      <c r="X53" s="22">
        <f>IFERROR(IF(SUM($D53:S53)=$R31,0,$R31/$C53),0)</f>
        <v>0</v>
      </c>
    </row>
    <row r="54" spans="2:24" hidden="1" outlineLevel="1">
      <c r="B54" s="33">
        <f>S30</f>
        <v>2038</v>
      </c>
      <c r="C54" s="6">
        <f t="shared" si="9"/>
        <v>7</v>
      </c>
      <c r="O54" s="22"/>
      <c r="P54" s="22"/>
      <c r="Q54" s="22"/>
      <c r="R54" s="22"/>
      <c r="S54" s="22">
        <f>IFERROR(IF(S$31&gt;0,S$31/$C54,0),0)</f>
        <v>0</v>
      </c>
      <c r="T54" s="22"/>
      <c r="U54" s="22"/>
      <c r="V54" s="22"/>
      <c r="W54" s="22"/>
      <c r="X54" s="22">
        <f>IFERROR(IF(SUM($D54:S54)=$S31,0,$S31/$C54),0)</f>
        <v>0</v>
      </c>
    </row>
    <row r="55" spans="2:24" hidden="1" outlineLevel="1">
      <c r="B55" s="33">
        <f>X30</f>
        <v>2043</v>
      </c>
      <c r="C55" s="6">
        <f t="shared" si="9"/>
        <v>7</v>
      </c>
      <c r="O55" s="22"/>
      <c r="P55" s="22"/>
      <c r="Q55" s="22"/>
      <c r="R55" s="22"/>
      <c r="S55" s="22"/>
      <c r="T55" s="22"/>
      <c r="U55" s="22"/>
      <c r="V55" s="22"/>
      <c r="W55" s="22"/>
      <c r="X55" s="22">
        <f>IFERROR(IF(X$31&gt;0,X$31/$C55,0),0)</f>
        <v>0</v>
      </c>
    </row>
    <row r="56" spans="2:24" collapsed="1">
      <c r="O56" s="22"/>
      <c r="P56" s="22"/>
      <c r="Q56" s="22"/>
      <c r="R56" s="22"/>
      <c r="S56" s="22"/>
      <c r="T56" s="22"/>
      <c r="U56" s="22"/>
      <c r="V56" s="22"/>
      <c r="W56" s="22"/>
      <c r="X56" s="22"/>
    </row>
    <row r="57" spans="2:24">
      <c r="B57" s="1" t="s">
        <v>11</v>
      </c>
      <c r="C57" s="6">
        <v>20</v>
      </c>
      <c r="D57" s="25">
        <f t="shared" ref="D57:X57" si="10">SUM(D58:D74)</f>
        <v>0</v>
      </c>
      <c r="E57" s="25">
        <f t="shared" si="10"/>
        <v>2.5000000000000001E-3</v>
      </c>
      <c r="F57" s="25">
        <f t="shared" si="10"/>
        <v>3.2500000000000001E-2</v>
      </c>
      <c r="G57" s="25">
        <f t="shared" si="10"/>
        <v>8.2500000000000004E-2</v>
      </c>
      <c r="H57" s="25">
        <f t="shared" si="10"/>
        <v>8.5000000000000006E-2</v>
      </c>
      <c r="I57" s="25">
        <f t="shared" si="10"/>
        <v>8.5000000000000006E-2</v>
      </c>
      <c r="J57" s="25">
        <f t="shared" si="10"/>
        <v>8.5000000000000006E-2</v>
      </c>
      <c r="K57" s="25">
        <f t="shared" si="10"/>
        <v>8.5000000000000006E-2</v>
      </c>
      <c r="L57" s="25">
        <f t="shared" si="10"/>
        <v>8.5000000000000006E-2</v>
      </c>
      <c r="M57" s="25">
        <f t="shared" si="10"/>
        <v>8.5000000000000006E-2</v>
      </c>
      <c r="N57" s="25">
        <f t="shared" si="10"/>
        <v>8.5000000000000006E-2</v>
      </c>
      <c r="O57" s="20">
        <f t="shared" si="10"/>
        <v>8.5000000000000006E-2</v>
      </c>
      <c r="P57" s="20">
        <f t="shared" si="10"/>
        <v>8.5000000000000006E-2</v>
      </c>
      <c r="Q57" s="20">
        <f t="shared" si="10"/>
        <v>8.5000000000000006E-2</v>
      </c>
      <c r="R57" s="20">
        <f t="shared" si="10"/>
        <v>8.5000000000000006E-2</v>
      </c>
      <c r="S57" s="20">
        <f t="shared" si="10"/>
        <v>8.5000000000000006E-2</v>
      </c>
      <c r="T57" s="20"/>
      <c r="U57" s="20"/>
      <c r="V57" s="20"/>
      <c r="W57" s="20"/>
      <c r="X57" s="20">
        <f t="shared" si="10"/>
        <v>8.5000000000000006E-2</v>
      </c>
    </row>
    <row r="58" spans="2:24" hidden="1" outlineLevel="1">
      <c r="B58" s="33">
        <f>B39</f>
        <v>2023</v>
      </c>
      <c r="C58" s="6">
        <f t="shared" ref="C58:C74" si="11">$C$57</f>
        <v>20</v>
      </c>
      <c r="D58" s="4">
        <f>IFERROR(IF(D$32&gt;0,D$32/$C$58,0),0)</f>
        <v>0</v>
      </c>
      <c r="E58" s="4">
        <f>IFERROR(IF(SUM($D58:D58)=$D32,0,$D32/$C58),0)</f>
        <v>0</v>
      </c>
      <c r="F58" s="4">
        <f>IFERROR(IF(SUM($D58:E58)=$D32,0,$D32/$C58),0)</f>
        <v>0</v>
      </c>
      <c r="G58" s="4">
        <f>IFERROR(IF(SUM($D58:F58)=$D32,0,$D32/$C58),0)</f>
        <v>0</v>
      </c>
      <c r="H58" s="4">
        <f>IFERROR(IF(SUM($D58:G58)=$D32,0,$D32/$C58),0)</f>
        <v>0</v>
      </c>
      <c r="I58" s="4">
        <f>IFERROR(IF(SUM($D58:H58)=$D32,0,$D32/$C58),0)</f>
        <v>0</v>
      </c>
      <c r="J58" s="4">
        <f>IFERROR(IF(SUM($D58:I58)=$D32,0,$D32/$C58),0)</f>
        <v>0</v>
      </c>
      <c r="K58" s="4">
        <f>IFERROR(IF(SUM($D58:J58)=$D32,0,$D32/$C58),0)</f>
        <v>0</v>
      </c>
      <c r="L58" s="4">
        <f>IFERROR(IF(SUM($D58:K58)=$D32,0,$D32/$C58),0)</f>
        <v>0</v>
      </c>
      <c r="M58" s="4">
        <f>IFERROR(IF(SUM($D58:L58)=$D32,0,$D32/$C58),0)</f>
        <v>0</v>
      </c>
      <c r="N58" s="4">
        <f>IFERROR(IF(SUM($D58:M58)=$D32,0,$D32/$C58),0)</f>
        <v>0</v>
      </c>
      <c r="O58" s="22">
        <f>IFERROR(IF(SUM($D58:N58)=$D32,0,$D32/$C58),0)</f>
        <v>0</v>
      </c>
      <c r="P58" s="22">
        <f>IFERROR(IF(SUM($D58:O58)=$D32,0,$D32/$C58),0)</f>
        <v>0</v>
      </c>
      <c r="Q58" s="22">
        <f>IFERROR(IF(SUM($D58:P58)=$D32,0,$D32/$C58),0)</f>
        <v>0</v>
      </c>
      <c r="R58" s="22">
        <f>IFERROR(IF(SUM($D58:Q58)=$D32,0,$D32/$C58),0)</f>
        <v>0</v>
      </c>
      <c r="S58" s="22">
        <f>IFERROR(IF(SUM($D58:R58)=$D32,0,$D32/$C58),0)</f>
        <v>0</v>
      </c>
      <c r="T58" s="22"/>
      <c r="U58" s="22"/>
      <c r="V58" s="22"/>
      <c r="W58" s="22"/>
      <c r="X58" s="22">
        <f>IFERROR(IF(SUM($D58:S58)=$D32,0,$D32/$C58),0)</f>
        <v>0</v>
      </c>
    </row>
    <row r="59" spans="2:24" hidden="1" outlineLevel="1">
      <c r="B59" s="33">
        <f t="shared" ref="B59:B74" si="12">B40</f>
        <v>2024</v>
      </c>
      <c r="C59" s="6">
        <f t="shared" si="11"/>
        <v>20</v>
      </c>
      <c r="E59" s="4">
        <f>IFERROR(IF(E$32&gt;0,E$32/$C$59,0),0)</f>
        <v>2.5000000000000001E-3</v>
      </c>
      <c r="F59" s="4">
        <f>IFERROR(IF(SUM($D59:E59)=$E32,0,$E32/$C59),0)</f>
        <v>2.5000000000000001E-3</v>
      </c>
      <c r="G59" s="4">
        <f>IFERROR(IF(SUM($D59:F59)=$E32,0,$E32/$C59),0)</f>
        <v>2.5000000000000001E-3</v>
      </c>
      <c r="H59" s="4">
        <f>IFERROR(IF(SUM($D59:G59)=$E32,0,$E32/$C59),0)</f>
        <v>2.5000000000000001E-3</v>
      </c>
      <c r="I59" s="4">
        <f>IFERROR(IF(SUM($D59:H59)=$E32,0,$E32/$C59),0)</f>
        <v>2.5000000000000001E-3</v>
      </c>
      <c r="J59" s="4">
        <f>IFERROR(IF(SUM($D59:I59)=$E32,0,$E32/$C59),0)</f>
        <v>2.5000000000000001E-3</v>
      </c>
      <c r="K59" s="4">
        <f>IFERROR(IF(SUM($D59:J59)=$E32,0,$E32/$C59),0)</f>
        <v>2.5000000000000001E-3</v>
      </c>
      <c r="L59" s="4">
        <f>IFERROR(IF(SUM($D59:K59)=$E32,0,$E32/$C59),0)</f>
        <v>2.5000000000000001E-3</v>
      </c>
      <c r="M59" s="4">
        <f>IFERROR(IF(SUM($D59:L59)=$E32,0,$E32/$C59),0)</f>
        <v>2.5000000000000001E-3</v>
      </c>
      <c r="N59" s="4">
        <f>IFERROR(IF(SUM($D59:M59)=$E32,0,$E32/$C59),0)</f>
        <v>2.5000000000000001E-3</v>
      </c>
      <c r="O59" s="22">
        <f>IFERROR(IF(SUM($D59:N59)=$E32,0,$E32/$C59),0)</f>
        <v>2.5000000000000001E-3</v>
      </c>
      <c r="P59" s="22">
        <f>IFERROR(IF(SUM($D59:O59)=$E32,0,$E32/$C59),0)</f>
        <v>2.5000000000000001E-3</v>
      </c>
      <c r="Q59" s="22">
        <f>IFERROR(IF(SUM($D59:P59)=$E32,0,$E32/$C59),0)</f>
        <v>2.5000000000000001E-3</v>
      </c>
      <c r="R59" s="22">
        <f>IFERROR(IF(SUM($D59:Q59)=$E32,0,$E32/$C59),0)</f>
        <v>2.5000000000000001E-3</v>
      </c>
      <c r="S59" s="22">
        <f>IFERROR(IF(SUM($D59:R59)=$E32,0,$E32/$C59),0)</f>
        <v>2.5000000000000001E-3</v>
      </c>
      <c r="T59" s="22"/>
      <c r="U59" s="22"/>
      <c r="V59" s="22"/>
      <c r="W59" s="22"/>
      <c r="X59" s="22">
        <f>IFERROR(IF(SUM($D59:S59)=$E32,0,$E32/$C59),0)</f>
        <v>2.5000000000000001E-3</v>
      </c>
    </row>
    <row r="60" spans="2:24" hidden="1" outlineLevel="1">
      <c r="B60" s="33">
        <f t="shared" si="12"/>
        <v>2025</v>
      </c>
      <c r="C60" s="6">
        <f t="shared" si="11"/>
        <v>20</v>
      </c>
      <c r="F60" s="4">
        <f>IFERROR(IF(F$32&gt;0,F$32/$C$60,0),0)</f>
        <v>0.03</v>
      </c>
      <c r="G60" s="4">
        <f>IFERROR(IF(SUM($D60:F60)=$F32,0,$F32/$C60),0)</f>
        <v>0.03</v>
      </c>
      <c r="H60" s="4">
        <f>IFERROR(IF(SUM($D60:G60)=$F32,0,$F32/$C60),0)</f>
        <v>0.03</v>
      </c>
      <c r="I60" s="4">
        <f>IFERROR(IF(SUM($D60:H60)=$F32,0,$F32/$C60),0)</f>
        <v>0.03</v>
      </c>
      <c r="J60" s="4">
        <f>IFERROR(IF(SUM($D60:I60)=$F32,0,$F32/$C60),0)</f>
        <v>0.03</v>
      </c>
      <c r="K60" s="4">
        <f>IFERROR(IF(SUM($D60:J60)=$F32,0,$F32/$C60),0)</f>
        <v>0.03</v>
      </c>
      <c r="L60" s="4">
        <f>IFERROR(IF(SUM($D60:K60)=$F32,0,$F32/$C60),0)</f>
        <v>0.03</v>
      </c>
      <c r="M60" s="4">
        <f>IFERROR(IF(SUM($D60:L60)=$F32,0,$F32/$C60),0)</f>
        <v>0.03</v>
      </c>
      <c r="N60" s="4">
        <f>IFERROR(IF(SUM($D60:M60)=$F32,0,$F32/$C60),0)</f>
        <v>0.03</v>
      </c>
      <c r="O60" s="22">
        <f>IFERROR(IF(SUM($D60:N60)=$F32,0,$F32/$C60),0)</f>
        <v>0.03</v>
      </c>
      <c r="P60" s="22">
        <f>IFERROR(IF(SUM($D60:O60)=$F32,0,$F32/$C60),0)</f>
        <v>0.03</v>
      </c>
      <c r="Q60" s="22">
        <f>IFERROR(IF(SUM($D60:P60)=$F32,0,$F32/$C60),0)</f>
        <v>0.03</v>
      </c>
      <c r="R60" s="22">
        <f>IFERROR(IF(SUM($D60:Q60)=$F32,0,$F32/$C60),0)</f>
        <v>0.03</v>
      </c>
      <c r="S60" s="22">
        <f>IFERROR(IF(SUM($D60:R60)=$F32,0,$F32/$C60),0)</f>
        <v>0.03</v>
      </c>
      <c r="T60" s="22"/>
      <c r="U60" s="22"/>
      <c r="V60" s="22"/>
      <c r="W60" s="22"/>
      <c r="X60" s="22">
        <f>IFERROR(IF(SUM($D60:S60)=$F32,0,$F32/$C60),0)</f>
        <v>0.03</v>
      </c>
    </row>
    <row r="61" spans="2:24" hidden="1" outlineLevel="1">
      <c r="B61" s="33">
        <f t="shared" si="12"/>
        <v>2026</v>
      </c>
      <c r="C61" s="6">
        <f t="shared" si="11"/>
        <v>20</v>
      </c>
      <c r="G61" s="4">
        <f>IFERROR(IF(G$32&gt;0,G$32/$C$61,0),0)</f>
        <v>0.05</v>
      </c>
      <c r="H61" s="4">
        <f>IFERROR(IF(SUM($D61:G61)=$G32,0,$G32/$C61),0)</f>
        <v>0.05</v>
      </c>
      <c r="I61" s="4">
        <f>IFERROR(IF(SUM($D61:H61)=$G32,0,$G32/$C61),0)</f>
        <v>0.05</v>
      </c>
      <c r="J61" s="4">
        <f>IFERROR(IF(SUM($D61:I61)=$G32,0,$G32/$C61),0)</f>
        <v>0.05</v>
      </c>
      <c r="K61" s="4">
        <f>IFERROR(IF(SUM($D61:J61)=$G32,0,$G32/$C61),0)</f>
        <v>0.05</v>
      </c>
      <c r="L61" s="4">
        <f>IFERROR(IF(SUM($D61:K61)=$G32,0,$G32/$C61),0)</f>
        <v>0.05</v>
      </c>
      <c r="M61" s="4">
        <f>IFERROR(IF(SUM($D61:L61)=$G32,0,$G32/$C61),0)</f>
        <v>0.05</v>
      </c>
      <c r="N61" s="4">
        <f>IFERROR(IF(SUM($D61:M61)=$G32,0,$G32/$C61),0)</f>
        <v>0.05</v>
      </c>
      <c r="O61" s="22">
        <f>IFERROR(IF(SUM($D61:N61)=$G32,0,$G32/$C61),0)</f>
        <v>0.05</v>
      </c>
      <c r="P61" s="22">
        <f>IFERROR(IF(SUM($D61:O61)=$G32,0,$G32/$C61),0)</f>
        <v>0.05</v>
      </c>
      <c r="Q61" s="22">
        <f>IFERROR(IF(SUM($D61:P61)=$G32,0,$G32/$C61),0)</f>
        <v>0.05</v>
      </c>
      <c r="R61" s="22">
        <f>IFERROR(IF(SUM($D61:Q61)=$G32,0,$G32/$C61),0)</f>
        <v>0.05</v>
      </c>
      <c r="S61" s="22">
        <f>IFERROR(IF(SUM($D61:R61)=$G32,0,$G32/$C61),0)</f>
        <v>0.05</v>
      </c>
      <c r="T61" s="22"/>
      <c r="U61" s="22"/>
      <c r="V61" s="22"/>
      <c r="W61" s="22"/>
      <c r="X61" s="22">
        <f>IFERROR(IF(SUM($D61:S61)=$G32,0,$G32/$C61),0)</f>
        <v>0.05</v>
      </c>
    </row>
    <row r="62" spans="2:24" hidden="1" outlineLevel="1">
      <c r="B62" s="33">
        <f t="shared" si="12"/>
        <v>2027</v>
      </c>
      <c r="C62" s="6">
        <f t="shared" si="11"/>
        <v>20</v>
      </c>
      <c r="H62" s="4">
        <f>IFERROR(IF(H$32&gt;0,H$32/$C$62,0),0)</f>
        <v>2.5000000000000001E-3</v>
      </c>
      <c r="I62" s="4">
        <f>IFERROR(IF(SUM($D62:H62)=$H32,0,$H32/$C62),0)</f>
        <v>2.5000000000000001E-3</v>
      </c>
      <c r="J62" s="4">
        <f>IFERROR(IF(SUM($D62:I62)=$H32,0,$H32/$C62),0)</f>
        <v>2.5000000000000001E-3</v>
      </c>
      <c r="K62" s="4">
        <f>IFERROR(IF(SUM($D62:J62)=$H32,0,$H32/$C62),0)</f>
        <v>2.5000000000000001E-3</v>
      </c>
      <c r="L62" s="4">
        <f>IFERROR(IF(SUM($D62:K62)=$H32,0,$H32/$C62),0)</f>
        <v>2.5000000000000001E-3</v>
      </c>
      <c r="M62" s="4">
        <f>IFERROR(IF(SUM($D62:L62)=$H32,0,$H32/$C62),0)</f>
        <v>2.5000000000000001E-3</v>
      </c>
      <c r="N62" s="4">
        <f>IFERROR(IF(SUM($D62:M62)=$H32,0,$H32/$C62),0)</f>
        <v>2.5000000000000001E-3</v>
      </c>
      <c r="O62" s="22">
        <f>IFERROR(IF(SUM($D62:N62)=$H32,0,$H32/$C62),0)</f>
        <v>2.5000000000000001E-3</v>
      </c>
      <c r="P62" s="22">
        <f>IFERROR(IF(SUM($D62:O62)=$H32,0,$H32/$C62),0)</f>
        <v>2.5000000000000001E-3</v>
      </c>
      <c r="Q62" s="22">
        <f>IFERROR(IF(SUM($D62:P62)=$H32,0,$H32/$C62),0)</f>
        <v>2.5000000000000001E-3</v>
      </c>
      <c r="R62" s="22">
        <f>IFERROR(IF(SUM($D62:Q62)=$H32,0,$H32/$C62),0)</f>
        <v>2.5000000000000001E-3</v>
      </c>
      <c r="S62" s="22">
        <f>IFERROR(IF(SUM($D62:R62)=$H32,0,$H32/$C62),0)</f>
        <v>2.5000000000000001E-3</v>
      </c>
      <c r="T62" s="22"/>
      <c r="U62" s="22"/>
      <c r="V62" s="22"/>
      <c r="W62" s="22"/>
      <c r="X62" s="22">
        <f>IFERROR(IF(SUM($D62:S62)=$H32,0,$H32/$C62),0)</f>
        <v>2.5000000000000001E-3</v>
      </c>
    </row>
    <row r="63" spans="2:24" hidden="1" outlineLevel="1">
      <c r="B63" s="33">
        <f t="shared" si="12"/>
        <v>2028</v>
      </c>
      <c r="C63" s="6">
        <f t="shared" si="11"/>
        <v>20</v>
      </c>
      <c r="I63" s="4">
        <f>IFERROR(IF(I$32&gt;0,I$32/$C$63,0),0)</f>
        <v>0</v>
      </c>
      <c r="J63" s="4">
        <f>IFERROR(IF(SUM($D63:I63)=$I32,0,$I32/$C63),0)</f>
        <v>0</v>
      </c>
      <c r="K63" s="4">
        <f>IFERROR(IF(SUM($D63:J63)=$I32,0,$I32/$C63),0)</f>
        <v>0</v>
      </c>
      <c r="L63" s="4">
        <f>IFERROR(IF(SUM($D63:K63)=$I32,0,$I32/$C63),0)</f>
        <v>0</v>
      </c>
      <c r="M63" s="4">
        <f>IFERROR(IF(SUM($D63:L63)=$I32,0,$I32/$C63),0)</f>
        <v>0</v>
      </c>
      <c r="N63" s="4">
        <f>IFERROR(IF(SUM($D63:M63)=$I32,0,$I32/$C63),0)</f>
        <v>0</v>
      </c>
      <c r="O63" s="22">
        <f>IFERROR(IF(SUM($D63:N63)=$I32,0,$I32/$C63),0)</f>
        <v>0</v>
      </c>
      <c r="P63" s="22">
        <f>IFERROR(IF(SUM($D63:O63)=$I32,0,$I32/$C63),0)</f>
        <v>0</v>
      </c>
      <c r="Q63" s="22">
        <f>IFERROR(IF(SUM($D63:P63)=$I32,0,$I32/$C63),0)</f>
        <v>0</v>
      </c>
      <c r="R63" s="22">
        <f>IFERROR(IF(SUM($D63:Q63)=$I32,0,$I32/$C63),0)</f>
        <v>0</v>
      </c>
      <c r="S63" s="22">
        <f>IFERROR(IF(SUM($D63:R63)=$I32,0,$I32/$C63),0)</f>
        <v>0</v>
      </c>
      <c r="T63" s="22"/>
      <c r="U63" s="22"/>
      <c r="V63" s="22"/>
      <c r="W63" s="22"/>
      <c r="X63" s="22">
        <f>IFERROR(IF(SUM($D63:S63)=$I32,0,$I32/$C63),0)</f>
        <v>0</v>
      </c>
    </row>
    <row r="64" spans="2:24" hidden="1" outlineLevel="1">
      <c r="B64" s="33">
        <f t="shared" si="12"/>
        <v>2029</v>
      </c>
      <c r="C64" s="6">
        <f t="shared" si="11"/>
        <v>20</v>
      </c>
      <c r="J64" s="4">
        <f>IFERROR(IF(J$32&gt;0,J$32/$C$64,0),0)</f>
        <v>0</v>
      </c>
      <c r="K64" s="4">
        <f>IFERROR(IF(SUM($D64:J64)=$J32,0,$J32/$C64),0)</f>
        <v>0</v>
      </c>
      <c r="L64" s="4">
        <f>IFERROR(IF(SUM($D64:K64)=$J32,0,$J32/$C64),0)</f>
        <v>0</v>
      </c>
      <c r="M64" s="4">
        <f>IFERROR(IF(SUM($D64:L64)=$J32,0,$J32/$C64),0)</f>
        <v>0</v>
      </c>
      <c r="N64" s="4">
        <f>IFERROR(IF(SUM($D64:M64)=$J32,0,$J32/$C64),0)</f>
        <v>0</v>
      </c>
      <c r="O64" s="22">
        <f>IFERROR(IF(SUM($D64:N64)=$J32,0,$J32/$C64),0)</f>
        <v>0</v>
      </c>
      <c r="P64" s="22">
        <f>IFERROR(IF(SUM($D64:O64)=$J32,0,$J32/$C64),0)</f>
        <v>0</v>
      </c>
      <c r="Q64" s="22">
        <f>IFERROR(IF(SUM($D64:P64)=$J32,0,$J32/$C64),0)</f>
        <v>0</v>
      </c>
      <c r="R64" s="22">
        <f>IFERROR(IF(SUM($D64:Q64)=$J32,0,$J32/$C64),0)</f>
        <v>0</v>
      </c>
      <c r="S64" s="22">
        <f>IFERROR(IF(SUM($D64:R64)=$J32,0,$J32/$C64),0)</f>
        <v>0</v>
      </c>
      <c r="T64" s="22"/>
      <c r="U64" s="22"/>
      <c r="V64" s="22"/>
      <c r="W64" s="22"/>
      <c r="X64" s="22">
        <f>IFERROR(IF(SUM($D64:S64)=$J32,0,$J32/$C64),0)</f>
        <v>0</v>
      </c>
    </row>
    <row r="65" spans="2:24" hidden="1" outlineLevel="1">
      <c r="B65" s="33">
        <f t="shared" si="12"/>
        <v>2030</v>
      </c>
      <c r="C65" s="6">
        <f t="shared" si="11"/>
        <v>20</v>
      </c>
      <c r="K65" s="4">
        <f>IFERROR(IF(K$32&gt;0,K$32/$C$65,0),0)</f>
        <v>0</v>
      </c>
      <c r="L65" s="4">
        <f>IFERROR(IF(SUM($D65:K65)=$K32,0,$K32/$C65),0)</f>
        <v>0</v>
      </c>
      <c r="M65" s="4">
        <f>IFERROR(IF(SUM($D65:L65)=$K32,0,$K32/$C65),0)</f>
        <v>0</v>
      </c>
      <c r="N65" s="4">
        <f>IFERROR(IF(SUM($D65:M65)=$K32,0,$K32/$C65),0)</f>
        <v>0</v>
      </c>
      <c r="O65" s="22">
        <f>IFERROR(IF(SUM($D65:N65)=$K32,0,$K32/$C65),0)</f>
        <v>0</v>
      </c>
      <c r="P65" s="22">
        <f>IFERROR(IF(SUM($D65:O65)=$K32,0,$K32/$C65),0)</f>
        <v>0</v>
      </c>
      <c r="Q65" s="22">
        <f>IFERROR(IF(SUM($D65:P65)=$K32,0,$K32/$C65),0)</f>
        <v>0</v>
      </c>
      <c r="R65" s="22">
        <f>IFERROR(IF(SUM($D65:Q65)=$K32,0,$K32/$C65),0)</f>
        <v>0</v>
      </c>
      <c r="S65" s="22">
        <f>IFERROR(IF(SUM($D65:R65)=$K32,0,$K32/$C65),0)</f>
        <v>0</v>
      </c>
      <c r="T65" s="22"/>
      <c r="U65" s="22"/>
      <c r="V65" s="22"/>
      <c r="W65" s="22"/>
      <c r="X65" s="22">
        <f>IFERROR(IF(SUM($D65:S65)=$K32,0,$K32/$C65),0)</f>
        <v>0</v>
      </c>
    </row>
    <row r="66" spans="2:24" hidden="1" outlineLevel="1">
      <c r="B66" s="33">
        <f t="shared" si="12"/>
        <v>2031</v>
      </c>
      <c r="C66" s="6">
        <f t="shared" si="11"/>
        <v>20</v>
      </c>
      <c r="L66" s="4">
        <f>IFERROR(IF(L$32&gt;0,L$32/$C$66,0),0)</f>
        <v>0</v>
      </c>
      <c r="M66" s="4">
        <f>IFERROR(IF(SUM($D66:L66)=$L32,0,$L32/$C66),0)</f>
        <v>0</v>
      </c>
      <c r="N66" s="4">
        <f>IFERROR(IF(SUM($D66:M66)=$L32,0,$L32/$C66),0)</f>
        <v>0</v>
      </c>
      <c r="O66" s="22">
        <f>IFERROR(IF(SUM($D66:N66)=$L32,0,$L32/$C66),0)</f>
        <v>0</v>
      </c>
      <c r="P66" s="22">
        <f>IFERROR(IF(SUM($D66:O66)=$L32,0,$L32/$C66),0)</f>
        <v>0</v>
      </c>
      <c r="Q66" s="22">
        <f>IFERROR(IF(SUM($D66:P66)=$L32,0,$L32/$C66),0)</f>
        <v>0</v>
      </c>
      <c r="R66" s="22">
        <f>IFERROR(IF(SUM($D66:Q66)=$L32,0,$L32/$C66),0)</f>
        <v>0</v>
      </c>
      <c r="S66" s="22">
        <f>IFERROR(IF(SUM($D66:R66)=$L32,0,$L32/$C66),0)</f>
        <v>0</v>
      </c>
      <c r="T66" s="22"/>
      <c r="U66" s="22"/>
      <c r="V66" s="22"/>
      <c r="W66" s="22"/>
      <c r="X66" s="22">
        <f>IFERROR(IF(SUM($D66:S66)=$L32,0,$L32/$C66),0)</f>
        <v>0</v>
      </c>
    </row>
    <row r="67" spans="2:24" hidden="1" outlineLevel="1">
      <c r="B67" s="33">
        <f t="shared" si="12"/>
        <v>2032</v>
      </c>
      <c r="C67" s="6">
        <f t="shared" si="11"/>
        <v>20</v>
      </c>
      <c r="M67" s="4">
        <f>IFERROR(IF(M$32&gt;0,M$32/$C$67,0),0)</f>
        <v>0</v>
      </c>
      <c r="N67" s="4">
        <f>IFERROR(IF(SUM($D67:M67)=$M32,0,$M32/$C67),0)</f>
        <v>0</v>
      </c>
      <c r="O67" s="22">
        <f>IFERROR(IF(SUM($D67:N67)=$M32,0,$M32/$C67),0)</f>
        <v>0</v>
      </c>
      <c r="P67" s="22">
        <f>IFERROR(IF(SUM($D67:O67)=$M32,0,$M32/$C67),0)</f>
        <v>0</v>
      </c>
      <c r="Q67" s="22">
        <f>IFERROR(IF(SUM($D67:P67)=$M32,0,$M32/$C67),0)</f>
        <v>0</v>
      </c>
      <c r="R67" s="22">
        <f>IFERROR(IF(SUM($D67:Q67)=$M32,0,$M32/$C67),0)</f>
        <v>0</v>
      </c>
      <c r="S67" s="22">
        <f>IFERROR(IF(SUM($D67:R67)=$M32,0,$M32/$C67),0)</f>
        <v>0</v>
      </c>
      <c r="T67" s="22"/>
      <c r="U67" s="22"/>
      <c r="V67" s="22"/>
      <c r="W67" s="22"/>
      <c r="X67" s="22">
        <f>IFERROR(IF(SUM($D67:S67)=$M32,0,$M32/$C67),0)</f>
        <v>0</v>
      </c>
    </row>
    <row r="68" spans="2:24" hidden="1" outlineLevel="1">
      <c r="B68" s="33">
        <f t="shared" si="12"/>
        <v>2033</v>
      </c>
      <c r="C68" s="6">
        <f t="shared" si="11"/>
        <v>20</v>
      </c>
      <c r="N68" s="4">
        <f>IFERROR(IF(N$32&gt;0,N$32/$C$68,0),0)</f>
        <v>0</v>
      </c>
      <c r="O68" s="22">
        <f>IFERROR(IF(SUM($D68:N68)=$N32,0,$N32/$C68),0)</f>
        <v>0</v>
      </c>
      <c r="P68" s="22">
        <f>IFERROR(IF(SUM($D68:O68)=$N32,0,$N32/$C68),0)</f>
        <v>0</v>
      </c>
      <c r="Q68" s="22">
        <f>IFERROR(IF(SUM($D68:P68)=$N32,0,$N32/$C68),0)</f>
        <v>0</v>
      </c>
      <c r="R68" s="22">
        <f>IFERROR(IF(SUM($D68:Q68)=$N32,0,$N32/$C68),0)</f>
        <v>0</v>
      </c>
      <c r="S68" s="22">
        <f>IFERROR(IF(SUM($D68:R68)=$N32,0,$N32/$C68),0)</f>
        <v>0</v>
      </c>
      <c r="T68" s="22"/>
      <c r="U68" s="22"/>
      <c r="V68" s="22"/>
      <c r="W68" s="22"/>
      <c r="X68" s="22">
        <f>IFERROR(IF(SUM($D68:S68)=$N32,0,$N32/$C68),0)</f>
        <v>0</v>
      </c>
    </row>
    <row r="69" spans="2:24" hidden="1" outlineLevel="1">
      <c r="B69" s="33">
        <f t="shared" si="12"/>
        <v>2034</v>
      </c>
      <c r="C69" s="6">
        <f t="shared" si="11"/>
        <v>20</v>
      </c>
      <c r="O69" s="22">
        <f>IFERROR(IF(O$32&gt;0,O$32/$C$69,0),0)</f>
        <v>0</v>
      </c>
      <c r="P69" s="22">
        <f>IFERROR(IF(SUM($D69:O69)=$O32,0,$O32/$C69),0)</f>
        <v>0</v>
      </c>
      <c r="Q69" s="22">
        <f>IFERROR(IF(SUM($D69:P69)=$O32,0,$O32/$C69),0)</f>
        <v>0</v>
      </c>
      <c r="R69" s="22">
        <f>IFERROR(IF(SUM($D69:Q69)=$O32,0,$O32/$C69),0)</f>
        <v>0</v>
      </c>
      <c r="S69" s="22">
        <f>IFERROR(IF(SUM($D69:R69)=$O32,0,$O32/$C69),0)</f>
        <v>0</v>
      </c>
      <c r="T69" s="22"/>
      <c r="U69" s="22"/>
      <c r="V69" s="22"/>
      <c r="W69" s="22"/>
      <c r="X69" s="22">
        <f>IFERROR(IF(SUM($D69:S69)=$O32,0,$O32/$C69),0)</f>
        <v>0</v>
      </c>
    </row>
    <row r="70" spans="2:24" hidden="1" outlineLevel="1">
      <c r="B70" s="33">
        <f t="shared" si="12"/>
        <v>2035</v>
      </c>
      <c r="C70" s="6">
        <f t="shared" si="11"/>
        <v>20</v>
      </c>
      <c r="O70" s="22"/>
      <c r="P70" s="22">
        <f>IFERROR(IF(P$32&gt;0,P$32/$C$70,0),0)</f>
        <v>0</v>
      </c>
      <c r="Q70" s="22">
        <f>IFERROR(IF(SUM($D70:P70)=$P32,0,$P32/$C70),0)</f>
        <v>0</v>
      </c>
      <c r="R70" s="22">
        <f>IFERROR(IF(SUM($D70:Q70)=$P32,0,$P32/$C70),0)</f>
        <v>0</v>
      </c>
      <c r="S70" s="22">
        <f>IFERROR(IF(SUM($D70:R70)=$P32,0,$P32/$C70),0)</f>
        <v>0</v>
      </c>
      <c r="T70" s="22"/>
      <c r="U70" s="22"/>
      <c r="V70" s="22"/>
      <c r="W70" s="22"/>
      <c r="X70" s="22">
        <f>IFERROR(IF(SUM($D70:S70)=$P32,0,$P32/$C70),0)</f>
        <v>0</v>
      </c>
    </row>
    <row r="71" spans="2:24" hidden="1" outlineLevel="1">
      <c r="B71" s="33">
        <f t="shared" si="12"/>
        <v>2036</v>
      </c>
      <c r="C71" s="6">
        <f t="shared" si="11"/>
        <v>20</v>
      </c>
      <c r="O71" s="22"/>
      <c r="P71" s="22"/>
      <c r="Q71" s="22">
        <f>IFERROR(IF(Q$32&gt;0,Q$32/$C$71,0),0)</f>
        <v>0</v>
      </c>
      <c r="R71" s="22">
        <f>IFERROR(IF(SUM($D71:Q71)=$Q32,0,$Q32/$C71),0)</f>
        <v>0</v>
      </c>
      <c r="S71" s="22">
        <f>IFERROR(IF(SUM($D71:R71)=$Q32,0,$Q32/$C71),0)</f>
        <v>0</v>
      </c>
      <c r="T71" s="22"/>
      <c r="U71" s="22"/>
      <c r="V71" s="22"/>
      <c r="W71" s="22"/>
      <c r="X71" s="22">
        <f>IFERROR(IF(SUM($D71:S71)=$Q32,0,$Q32/$C71),0)</f>
        <v>0</v>
      </c>
    </row>
    <row r="72" spans="2:24" hidden="1" outlineLevel="1">
      <c r="B72" s="33">
        <f t="shared" si="12"/>
        <v>2037</v>
      </c>
      <c r="C72" s="6">
        <f t="shared" si="11"/>
        <v>20</v>
      </c>
      <c r="O72" s="22"/>
      <c r="P72" s="22"/>
      <c r="Q72" s="22"/>
      <c r="R72" s="22">
        <f>IFERROR(IF(R$32&gt;0,R$32/$C$72,0),0)</f>
        <v>0</v>
      </c>
      <c r="S72" s="22">
        <f>IFERROR(IF(SUM($D72:R72)=$R32,0,$R32/$C72),0)</f>
        <v>0</v>
      </c>
      <c r="T72" s="22"/>
      <c r="U72" s="22"/>
      <c r="V72" s="22"/>
      <c r="W72" s="22"/>
      <c r="X72" s="22">
        <f>IFERROR(IF(SUM($D72:S72)=$R32,0,$R32/$C72),0)</f>
        <v>0</v>
      </c>
    </row>
    <row r="73" spans="2:24" hidden="1" outlineLevel="1">
      <c r="B73" s="33">
        <f t="shared" si="12"/>
        <v>2038</v>
      </c>
      <c r="C73" s="6">
        <f t="shared" si="11"/>
        <v>20</v>
      </c>
      <c r="O73" s="22"/>
      <c r="P73" s="22"/>
      <c r="Q73" s="22"/>
      <c r="R73" s="22"/>
      <c r="S73" s="22">
        <f>IFERROR(IF(S$32&gt;0,S$32/$C$73,0),0)</f>
        <v>0</v>
      </c>
      <c r="T73" s="22"/>
      <c r="U73" s="22"/>
      <c r="V73" s="22"/>
      <c r="W73" s="22"/>
      <c r="X73" s="22">
        <f>IFERROR(IF(SUM($D73:S73)=$S32,0,$S32/$C73),0)</f>
        <v>0</v>
      </c>
    </row>
    <row r="74" spans="2:24" hidden="1" outlineLevel="1">
      <c r="B74" s="33">
        <f t="shared" si="12"/>
        <v>2043</v>
      </c>
      <c r="C74" s="6">
        <f t="shared" si="11"/>
        <v>20</v>
      </c>
      <c r="O74" s="22"/>
      <c r="P74" s="22"/>
      <c r="Q74" s="22"/>
      <c r="R74" s="22"/>
      <c r="S74" s="22"/>
      <c r="T74" s="22"/>
      <c r="U74" s="22"/>
      <c r="V74" s="22"/>
      <c r="W74" s="22"/>
      <c r="X74" s="22">
        <f>IFERROR(IF(X$32&gt;0,X$32/$C$74,0),0)</f>
        <v>0</v>
      </c>
    </row>
    <row r="75" spans="2:24" collapsed="1">
      <c r="O75" s="22"/>
      <c r="P75" s="22"/>
      <c r="Q75" s="22"/>
      <c r="R75" s="22"/>
      <c r="S75" s="22"/>
      <c r="T75" s="22"/>
      <c r="U75" s="22"/>
      <c r="V75" s="22"/>
      <c r="W75" s="22"/>
      <c r="X75" s="22"/>
    </row>
    <row r="76" spans="2:24">
      <c r="O76" s="22"/>
      <c r="P76" s="22"/>
      <c r="Q76" s="22"/>
      <c r="R76" s="22"/>
      <c r="S76" s="22"/>
      <c r="T76" s="22"/>
      <c r="U76" s="22"/>
      <c r="V76" s="22"/>
      <c r="W76" s="22"/>
      <c r="X76" s="22"/>
    </row>
    <row r="77" spans="2:24" ht="15">
      <c r="B77" s="30" t="s">
        <v>75</v>
      </c>
      <c r="C77" s="30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2:24" ht="6.75" customHeight="1"/>
    <row r="79" spans="2:24">
      <c r="B79" s="27"/>
      <c r="C79" s="27"/>
      <c r="D79" s="54">
        <f>D$30</f>
        <v>2023</v>
      </c>
      <c r="E79" s="54">
        <f>E$30</f>
        <v>2024</v>
      </c>
      <c r="F79" s="54">
        <f t="shared" ref="F79:X79" si="13">F$30</f>
        <v>2025</v>
      </c>
      <c r="G79" s="54">
        <f t="shared" si="13"/>
        <v>2026</v>
      </c>
      <c r="H79" s="54">
        <f t="shared" si="13"/>
        <v>2027</v>
      </c>
      <c r="I79" s="54">
        <f t="shared" si="13"/>
        <v>2028</v>
      </c>
      <c r="J79" s="54">
        <f t="shared" si="13"/>
        <v>2029</v>
      </c>
      <c r="K79" s="54">
        <f t="shared" si="13"/>
        <v>2030</v>
      </c>
      <c r="L79" s="54">
        <f t="shared" si="13"/>
        <v>2031</v>
      </c>
      <c r="M79" s="54">
        <f t="shared" si="13"/>
        <v>2032</v>
      </c>
      <c r="N79" s="54">
        <f t="shared" si="13"/>
        <v>2033</v>
      </c>
      <c r="O79" s="3">
        <f t="shared" si="13"/>
        <v>2034</v>
      </c>
      <c r="P79" s="3">
        <f t="shared" si="13"/>
        <v>2035</v>
      </c>
      <c r="Q79" s="3">
        <f t="shared" si="13"/>
        <v>2036</v>
      </c>
      <c r="R79" s="3">
        <f t="shared" si="13"/>
        <v>2037</v>
      </c>
      <c r="S79" s="3">
        <f t="shared" si="13"/>
        <v>2038</v>
      </c>
      <c r="T79" s="3">
        <f t="shared" si="13"/>
        <v>2039</v>
      </c>
      <c r="U79" s="3">
        <f t="shared" si="13"/>
        <v>2040</v>
      </c>
      <c r="V79" s="3">
        <f t="shared" si="13"/>
        <v>2041</v>
      </c>
      <c r="W79" s="3">
        <f t="shared" si="13"/>
        <v>2042</v>
      </c>
      <c r="X79" s="3">
        <f t="shared" si="13"/>
        <v>2043</v>
      </c>
    </row>
    <row r="80" spans="2:24">
      <c r="B80" s="4" t="s">
        <v>3</v>
      </c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2:26">
      <c r="B81" s="4" t="s">
        <v>6</v>
      </c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pans="2:26">
      <c r="B82" s="4" t="s">
        <v>5</v>
      </c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spans="2:26">
      <c r="B83" s="4" t="s">
        <v>7</v>
      </c>
      <c r="D83" s="55"/>
      <c r="E83" s="62">
        <f>0.065</f>
        <v>6.5000000000000002E-2</v>
      </c>
      <c r="F83" s="62">
        <f>0.13</f>
        <v>0.13</v>
      </c>
      <c r="G83" s="62">
        <f>0.05</f>
        <v>0.05</v>
      </c>
      <c r="H83" s="62">
        <f>0.005</f>
        <v>5.0000000000000001E-3</v>
      </c>
      <c r="I83" s="55"/>
      <c r="J83" s="55"/>
      <c r="K83" s="55"/>
      <c r="L83" s="55"/>
      <c r="M83" s="55"/>
      <c r="N83" s="55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spans="2:26">
      <c r="B84" s="27" t="s">
        <v>8</v>
      </c>
      <c r="C84" s="27"/>
      <c r="D84" s="56"/>
      <c r="E84" s="64">
        <v>7.8159999999999998</v>
      </c>
      <c r="F84" s="64">
        <v>10.047000000000001</v>
      </c>
      <c r="G84" s="64">
        <v>13.140499999999999</v>
      </c>
      <c r="H84" s="64">
        <v>15.004</v>
      </c>
      <c r="I84" s="64">
        <v>16.5807</v>
      </c>
      <c r="J84" s="64">
        <v>18.306999999999999</v>
      </c>
      <c r="K84" s="64">
        <v>20.084</v>
      </c>
      <c r="L84" s="64">
        <v>22.026</v>
      </c>
      <c r="M84" s="64">
        <v>23.925999999999998</v>
      </c>
      <c r="N84" s="64">
        <v>25.800899999999999</v>
      </c>
      <c r="O84" s="64">
        <v>27.030999999999999</v>
      </c>
      <c r="P84" s="64">
        <v>28.960999999999999</v>
      </c>
      <c r="Q84" s="64">
        <v>30.765999999999998</v>
      </c>
      <c r="R84" s="64">
        <v>32.695</v>
      </c>
      <c r="S84" s="64">
        <v>34.65</v>
      </c>
      <c r="T84" s="64">
        <v>36.561999999999998</v>
      </c>
      <c r="U84" s="64">
        <v>38.566000000000003</v>
      </c>
      <c r="V84" s="64">
        <v>40.505000000000003</v>
      </c>
      <c r="W84" s="64">
        <v>42.417999999999999</v>
      </c>
      <c r="X84" s="64">
        <v>44.41</v>
      </c>
    </row>
    <row r="85" spans="2:26">
      <c r="B85" s="4" t="s">
        <v>19</v>
      </c>
      <c r="D85" s="57">
        <f t="shared" ref="D85:R85" si="14">D111</f>
        <v>0</v>
      </c>
      <c r="E85" s="74">
        <f t="shared" si="14"/>
        <v>0.39</v>
      </c>
      <c r="F85" s="74">
        <f t="shared" si="14"/>
        <v>0.39</v>
      </c>
      <c r="G85" s="74">
        <f t="shared" si="14"/>
        <v>0.39</v>
      </c>
      <c r="H85" s="74">
        <f t="shared" si="14"/>
        <v>0.39</v>
      </c>
      <c r="I85" s="74">
        <f>I111</f>
        <v>0.39</v>
      </c>
      <c r="J85" s="74">
        <f t="shared" si="14"/>
        <v>0.39</v>
      </c>
      <c r="K85" s="74">
        <f t="shared" si="14"/>
        <v>0.39</v>
      </c>
      <c r="L85" s="74">
        <f>L111</f>
        <v>0.39</v>
      </c>
      <c r="M85" s="74">
        <f t="shared" si="14"/>
        <v>0.39</v>
      </c>
      <c r="N85" s="74">
        <f t="shared" si="14"/>
        <v>0.39</v>
      </c>
      <c r="O85" s="74">
        <f t="shared" si="14"/>
        <v>0</v>
      </c>
      <c r="P85" s="12">
        <f t="shared" si="14"/>
        <v>0</v>
      </c>
      <c r="Q85" s="12">
        <f t="shared" si="14"/>
        <v>0</v>
      </c>
      <c r="R85" s="12">
        <f t="shared" si="14"/>
        <v>0</v>
      </c>
      <c r="S85" s="12">
        <f t="shared" ref="S85:X85" si="15">S111</f>
        <v>0</v>
      </c>
      <c r="T85" s="12">
        <f t="shared" si="15"/>
        <v>0</v>
      </c>
      <c r="U85" s="12">
        <f t="shared" si="15"/>
        <v>0</v>
      </c>
      <c r="V85" s="12">
        <f t="shared" si="15"/>
        <v>0</v>
      </c>
      <c r="W85" s="12">
        <f t="shared" si="15"/>
        <v>0</v>
      </c>
      <c r="X85" s="12">
        <f t="shared" si="15"/>
        <v>0</v>
      </c>
    </row>
    <row r="87" spans="2:26" ht="15">
      <c r="B87" s="30" t="s">
        <v>10</v>
      </c>
      <c r="C87" s="30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2:26" ht="8.25" customHeight="1"/>
    <row r="89" spans="2:26">
      <c r="B89" s="27"/>
      <c r="C89" s="27"/>
      <c r="D89" s="54">
        <f>D$30</f>
        <v>2023</v>
      </c>
      <c r="E89" s="54">
        <f>E$30</f>
        <v>2024</v>
      </c>
      <c r="F89" s="54">
        <f t="shared" ref="F89:X89" si="16">F$30</f>
        <v>2025</v>
      </c>
      <c r="G89" s="54">
        <f t="shared" si="16"/>
        <v>2026</v>
      </c>
      <c r="H89" s="54">
        <f t="shared" si="16"/>
        <v>2027</v>
      </c>
      <c r="I89" s="54">
        <f t="shared" si="16"/>
        <v>2028</v>
      </c>
      <c r="J89" s="54">
        <f t="shared" si="16"/>
        <v>2029</v>
      </c>
      <c r="K89" s="54">
        <f t="shared" si="16"/>
        <v>2030</v>
      </c>
      <c r="L89" s="54">
        <f t="shared" si="16"/>
        <v>2031</v>
      </c>
      <c r="M89" s="54">
        <f t="shared" si="16"/>
        <v>2032</v>
      </c>
      <c r="N89" s="54">
        <f t="shared" si="16"/>
        <v>2033</v>
      </c>
      <c r="O89" s="3">
        <f t="shared" si="16"/>
        <v>2034</v>
      </c>
      <c r="P89" s="3">
        <f t="shared" si="16"/>
        <v>2035</v>
      </c>
      <c r="Q89" s="3">
        <f t="shared" si="16"/>
        <v>2036</v>
      </c>
      <c r="R89" s="3">
        <f t="shared" si="16"/>
        <v>2037</v>
      </c>
      <c r="S89" s="3">
        <f t="shared" si="16"/>
        <v>2038</v>
      </c>
      <c r="T89" s="3">
        <f t="shared" si="16"/>
        <v>2039</v>
      </c>
      <c r="U89" s="3">
        <f t="shared" si="16"/>
        <v>2040</v>
      </c>
      <c r="V89" s="3">
        <f t="shared" si="16"/>
        <v>2041</v>
      </c>
      <c r="W89" s="3">
        <f t="shared" si="16"/>
        <v>2042</v>
      </c>
      <c r="X89" s="3">
        <f t="shared" si="16"/>
        <v>2043</v>
      </c>
    </row>
    <row r="90" spans="2:26">
      <c r="B90" s="4" t="s">
        <v>89</v>
      </c>
      <c r="D90" s="4">
        <v>0</v>
      </c>
      <c r="E90" s="4">
        <f t="shared" ref="E90:X90" si="17">SUM(E91:E93)</f>
        <v>211332</v>
      </c>
      <c r="F90" s="4">
        <f t="shared" si="17"/>
        <v>290100</v>
      </c>
      <c r="G90" s="4">
        <f t="shared" si="17"/>
        <v>406000</v>
      </c>
      <c r="H90" s="4">
        <f t="shared" si="17"/>
        <v>450000</v>
      </c>
      <c r="I90" s="4">
        <f t="shared" si="17"/>
        <v>486600.00000000006</v>
      </c>
      <c r="J90" s="4">
        <f t="shared" si="17"/>
        <v>526608.00000000012</v>
      </c>
      <c r="K90" s="4">
        <f t="shared" si="17"/>
        <v>562371.24000000022</v>
      </c>
      <c r="L90" s="4">
        <f t="shared" si="17"/>
        <v>600804.57720000017</v>
      </c>
      <c r="M90" s="4">
        <f t="shared" si="17"/>
        <v>640765.2799440003</v>
      </c>
      <c r="N90" s="4">
        <f t="shared" si="17"/>
        <v>673700.70560688025</v>
      </c>
      <c r="O90" s="4">
        <f t="shared" si="17"/>
        <v>708502.04698685789</v>
      </c>
      <c r="P90" s="4">
        <f t="shared" si="17"/>
        <v>745279.05483050551</v>
      </c>
      <c r="Q90" s="4">
        <f t="shared" si="17"/>
        <v>772166.32838618814</v>
      </c>
      <c r="R90" s="4">
        <f t="shared" si="17"/>
        <v>800070.6151113474</v>
      </c>
      <c r="S90" s="4">
        <f t="shared" si="17"/>
        <v>829031.42597730726</v>
      </c>
      <c r="T90" s="4">
        <f t="shared" si="17"/>
        <v>859089.82900313556</v>
      </c>
      <c r="U90" s="4">
        <f t="shared" si="17"/>
        <v>890288.51106973179</v>
      </c>
      <c r="V90" s="4">
        <f t="shared" si="17"/>
        <v>915383.06174412381</v>
      </c>
      <c r="W90" s="4">
        <f t="shared" si="17"/>
        <v>941198.1668455936</v>
      </c>
      <c r="X90" s="4">
        <f t="shared" si="17"/>
        <v>967754.79736509058</v>
      </c>
    </row>
    <row r="91" spans="2:26" outlineLevel="1">
      <c r="C91" s="4" t="s">
        <v>84</v>
      </c>
      <c r="D91" s="55"/>
      <c r="E91" s="55">
        <v>155700</v>
      </c>
      <c r="F91" s="55">
        <v>210000</v>
      </c>
      <c r="G91" s="55">
        <v>300500</v>
      </c>
      <c r="H91" s="55">
        <v>330000</v>
      </c>
      <c r="I91" s="55">
        <f>H91*1.1</f>
        <v>363000.00000000006</v>
      </c>
      <c r="J91" s="55">
        <f>I91*1.1</f>
        <v>399300.00000000012</v>
      </c>
      <c r="K91" s="55">
        <f>J91*1.08</f>
        <v>431244.00000000017</v>
      </c>
      <c r="L91" s="55">
        <f t="shared" ref="L91:M91" si="18">K91*1.08</f>
        <v>465743.52000000019</v>
      </c>
      <c r="M91" s="55">
        <f t="shared" si="18"/>
        <v>503003.00160000025</v>
      </c>
      <c r="N91" s="55">
        <f>M91*1.06</f>
        <v>533183.18169600028</v>
      </c>
      <c r="O91" s="55">
        <f t="shared" ref="O91:P91" si="19">N91*1.06</f>
        <v>565174.17259776033</v>
      </c>
      <c r="P91" s="55">
        <f t="shared" si="19"/>
        <v>599084.62295362598</v>
      </c>
      <c r="Q91" s="55">
        <f>P91*1.04</f>
        <v>623048.007871771</v>
      </c>
      <c r="R91" s="55">
        <f t="shared" ref="R91:S91" si="20">Q91*1.04</f>
        <v>647969.92818664189</v>
      </c>
      <c r="S91" s="55">
        <f t="shared" si="20"/>
        <v>673888.72531410761</v>
      </c>
      <c r="T91" s="55">
        <f t="shared" ref="T91" si="21">S91*1.04</f>
        <v>700844.27432667196</v>
      </c>
      <c r="U91" s="55">
        <f t="shared" ref="U91" si="22">T91*1.04</f>
        <v>728878.04529973888</v>
      </c>
      <c r="V91" s="55">
        <f>U91*1.03</f>
        <v>750744.38665873103</v>
      </c>
      <c r="W91" s="55">
        <f t="shared" ref="W91:X91" si="23">V91*1.03</f>
        <v>773266.718258493</v>
      </c>
      <c r="X91" s="55">
        <f t="shared" si="23"/>
        <v>796464.71980624786</v>
      </c>
    </row>
    <row r="92" spans="2:26" outlineLevel="1">
      <c r="C92" s="4" t="s">
        <v>85</v>
      </c>
      <c r="D92" s="55"/>
      <c r="E92" s="55">
        <v>55632</v>
      </c>
      <c r="F92" s="55">
        <v>80100</v>
      </c>
      <c r="G92" s="55">
        <v>105500</v>
      </c>
      <c r="H92" s="55">
        <v>120000</v>
      </c>
      <c r="I92" s="55">
        <f>H92*1.03</f>
        <v>123600</v>
      </c>
      <c r="J92" s="55">
        <f>I92*1.03</f>
        <v>127308</v>
      </c>
      <c r="K92" s="55">
        <f>J92*1.03</f>
        <v>131127.24</v>
      </c>
      <c r="L92" s="55">
        <f>K92*1.03</f>
        <v>135061.05719999998</v>
      </c>
      <c r="M92" s="55">
        <f t="shared" ref="M92:Q92" si="24">L92*1.02</f>
        <v>137762.27834399999</v>
      </c>
      <c r="N92" s="55">
        <f t="shared" si="24"/>
        <v>140517.52391088</v>
      </c>
      <c r="O92" s="55">
        <f t="shared" si="24"/>
        <v>143327.87438909762</v>
      </c>
      <c r="P92" s="55">
        <f t="shared" si="24"/>
        <v>146194.43187687956</v>
      </c>
      <c r="Q92" s="55">
        <f t="shared" si="24"/>
        <v>149118.32051441717</v>
      </c>
      <c r="R92" s="55">
        <f t="shared" ref="R92:S92" si="25">Q92*1.02</f>
        <v>152100.68692470551</v>
      </c>
      <c r="S92" s="55">
        <f t="shared" si="25"/>
        <v>155142.70066319962</v>
      </c>
      <c r="T92" s="55">
        <f t="shared" ref="T92" si="26">S92*1.02</f>
        <v>158245.55467646362</v>
      </c>
      <c r="U92" s="55">
        <f t="shared" ref="U92:X92" si="27">T92*1.02</f>
        <v>161410.46576999291</v>
      </c>
      <c r="V92" s="55">
        <f t="shared" si="27"/>
        <v>164638.67508539278</v>
      </c>
      <c r="W92" s="55">
        <f t="shared" si="27"/>
        <v>167931.44858710063</v>
      </c>
      <c r="X92" s="55">
        <f t="shared" si="27"/>
        <v>171290.07755884266</v>
      </c>
    </row>
    <row r="93" spans="2:26" outlineLevel="1">
      <c r="D93" s="55"/>
      <c r="E93" s="55"/>
      <c r="F93" s="55"/>
      <c r="G93" s="55"/>
      <c r="H93" s="55"/>
      <c r="I93" s="18"/>
      <c r="J93" s="18"/>
      <c r="K93" s="18"/>
      <c r="L93" s="18"/>
      <c r="M93" s="18"/>
      <c r="N93" s="18"/>
      <c r="O93" s="65"/>
      <c r="P93" s="66"/>
      <c r="Q93" s="66"/>
      <c r="R93" s="66"/>
      <c r="S93" s="18"/>
      <c r="T93" s="18"/>
      <c r="U93" s="18"/>
      <c r="V93" s="18"/>
      <c r="W93" s="18"/>
      <c r="X93" s="18"/>
      <c r="Z93" s="4">
        <f>F119-E119</f>
        <v>0</v>
      </c>
    </row>
    <row r="94" spans="2:26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</row>
    <row r="95" spans="2:26">
      <c r="B95" s="4" t="s">
        <v>88</v>
      </c>
      <c r="D95" s="4">
        <f t="shared" ref="D95:X95" si="28">IFERROR(SUMPRODUCT(D96:D98,D91:D93)/D90,0)</f>
        <v>0</v>
      </c>
      <c r="E95" s="4">
        <f t="shared" si="28"/>
        <v>21.683777184714099</v>
      </c>
      <c r="F95" s="4">
        <f t="shared" si="28"/>
        <v>20.895553257497415</v>
      </c>
      <c r="G95" s="4">
        <f t="shared" si="28"/>
        <v>19.480295566502463</v>
      </c>
      <c r="H95" s="4">
        <f t="shared" si="28"/>
        <v>19.466666666666665</v>
      </c>
      <c r="I95" s="4">
        <f t="shared" si="28"/>
        <v>19.784364981504314</v>
      </c>
      <c r="J95" s="4">
        <f t="shared" si="28"/>
        <v>20.106384193555733</v>
      </c>
      <c r="K95" s="4">
        <f t="shared" si="28"/>
        <v>20.425929052338855</v>
      </c>
      <c r="L95" s="4">
        <f t="shared" si="28"/>
        <v>20.750081295041369</v>
      </c>
      <c r="M95" s="4">
        <f t="shared" si="28"/>
        <v>21.082455544636545</v>
      </c>
      <c r="N95" s="4">
        <f t="shared" si="28"/>
        <v>21.412734125337554</v>
      </c>
      <c r="O95" s="4">
        <f t="shared" si="28"/>
        <v>21.747861553217952</v>
      </c>
      <c r="P95" s="4">
        <f t="shared" si="28"/>
        <v>22.087904671557641</v>
      </c>
      <c r="Q95" s="4">
        <f t="shared" si="28"/>
        <v>22.426183792316927</v>
      </c>
      <c r="R95" s="4">
        <f t="shared" si="28"/>
        <v>22.769557808191369</v>
      </c>
      <c r="S95" s="4">
        <f t="shared" si="28"/>
        <v>23.118102386354561</v>
      </c>
      <c r="T95" s="4">
        <f t="shared" si="28"/>
        <v>23.471894331968208</v>
      </c>
      <c r="U95" s="4">
        <f t="shared" si="28"/>
        <v>23.831011605578631</v>
      </c>
      <c r="V95" s="4">
        <f t="shared" si="28"/>
        <v>24.192033154312067</v>
      </c>
      <c r="W95" s="4">
        <f t="shared" si="28"/>
        <v>24.558500893339225</v>
      </c>
      <c r="X95" s="4">
        <f t="shared" si="28"/>
        <v>24.930496682132887</v>
      </c>
      <c r="Z95" s="4" t="e">
        <f>#REF!-#REF!</f>
        <v>#REF!</v>
      </c>
    </row>
    <row r="96" spans="2:26" outlineLevel="1">
      <c r="C96" s="4" t="s">
        <v>87</v>
      </c>
      <c r="D96" s="55"/>
      <c r="E96" s="55">
        <v>23</v>
      </c>
      <c r="F96" s="55">
        <v>22</v>
      </c>
      <c r="G96" s="55">
        <v>20</v>
      </c>
      <c r="H96" s="55">
        <v>20</v>
      </c>
      <c r="I96" s="18">
        <f>H96*1.015</f>
        <v>20.299999999999997</v>
      </c>
      <c r="J96" s="18">
        <f t="shared" ref="J96:X96" si="29">I96*1.015</f>
        <v>20.604499999999994</v>
      </c>
      <c r="K96" s="18">
        <f t="shared" si="29"/>
        <v>20.913567499999992</v>
      </c>
      <c r="L96" s="18">
        <f t="shared" si="29"/>
        <v>21.22727101249999</v>
      </c>
      <c r="M96" s="18">
        <f t="shared" si="29"/>
        <v>21.545680077687489</v>
      </c>
      <c r="N96" s="18">
        <f t="shared" si="29"/>
        <v>21.868865278852798</v>
      </c>
      <c r="O96" s="18">
        <f t="shared" si="29"/>
        <v>22.196898258035588</v>
      </c>
      <c r="P96" s="18">
        <f t="shared" si="29"/>
        <v>22.52985173190612</v>
      </c>
      <c r="Q96" s="18">
        <f t="shared" si="29"/>
        <v>22.867799507884712</v>
      </c>
      <c r="R96" s="18">
        <f t="shared" si="29"/>
        <v>23.210816500502979</v>
      </c>
      <c r="S96" s="18">
        <f t="shared" si="29"/>
        <v>23.558978748010521</v>
      </c>
      <c r="T96" s="18">
        <f t="shared" si="29"/>
        <v>23.912363429230677</v>
      </c>
      <c r="U96" s="18">
        <f t="shared" si="29"/>
        <v>24.271048880669134</v>
      </c>
      <c r="V96" s="18">
        <f t="shared" si="29"/>
        <v>24.635114613879168</v>
      </c>
      <c r="W96" s="18">
        <f t="shared" si="29"/>
        <v>25.004641333087353</v>
      </c>
      <c r="X96" s="18">
        <f t="shared" si="29"/>
        <v>25.379710953083659</v>
      </c>
      <c r="Z96" s="60" t="e">
        <f>Z95/#REF!</f>
        <v>#REF!</v>
      </c>
    </row>
    <row r="97" spans="2:26" outlineLevel="1">
      <c r="C97" s="4" t="s">
        <v>86</v>
      </c>
      <c r="D97" s="55"/>
      <c r="E97" s="55">
        <v>18</v>
      </c>
      <c r="F97" s="55">
        <v>18</v>
      </c>
      <c r="G97" s="55">
        <v>18</v>
      </c>
      <c r="H97" s="55">
        <v>18</v>
      </c>
      <c r="I97" s="18">
        <f>H97*1.015</f>
        <v>18.27</v>
      </c>
      <c r="J97" s="18">
        <f t="shared" ref="J97:X97" si="30">I97*1.015</f>
        <v>18.544049999999999</v>
      </c>
      <c r="K97" s="18">
        <f t="shared" si="30"/>
        <v>18.822210749999996</v>
      </c>
      <c r="L97" s="18">
        <f t="shared" si="30"/>
        <v>19.104543911249994</v>
      </c>
      <c r="M97" s="18">
        <f t="shared" si="30"/>
        <v>19.391112069918741</v>
      </c>
      <c r="N97" s="18">
        <f t="shared" si="30"/>
        <v>19.68197875096752</v>
      </c>
      <c r="O97" s="18">
        <f t="shared" si="30"/>
        <v>19.977208432232032</v>
      </c>
      <c r="P97" s="18">
        <f t="shared" si="30"/>
        <v>20.276866558715511</v>
      </c>
      <c r="Q97" s="18">
        <f t="shared" si="30"/>
        <v>20.581019557096241</v>
      </c>
      <c r="R97" s="18">
        <f t="shared" si="30"/>
        <v>20.889734850452683</v>
      </c>
      <c r="S97" s="18">
        <f t="shared" si="30"/>
        <v>21.203080873209473</v>
      </c>
      <c r="T97" s="18">
        <f t="shared" si="30"/>
        <v>21.521127086307612</v>
      </c>
      <c r="U97" s="18">
        <f t="shared" si="30"/>
        <v>21.843943992602224</v>
      </c>
      <c r="V97" s="18">
        <f t="shared" si="30"/>
        <v>22.171603152491254</v>
      </c>
      <c r="W97" s="18">
        <f t="shared" si="30"/>
        <v>22.504177199778621</v>
      </c>
      <c r="X97" s="18">
        <f t="shared" si="30"/>
        <v>22.841739857775298</v>
      </c>
      <c r="Z97" s="4" t="e">
        <f>Z96*Z93</f>
        <v>#REF!</v>
      </c>
    </row>
    <row r="98" spans="2:26" outlineLevel="1"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18"/>
      <c r="P98" s="18"/>
      <c r="Q98" s="18"/>
      <c r="R98" s="18"/>
      <c r="S98" s="18"/>
      <c r="T98" s="18"/>
      <c r="U98" s="18"/>
      <c r="V98" s="18"/>
      <c r="W98" s="18"/>
      <c r="X98" s="18"/>
    </row>
    <row r="99" spans="2:26"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</row>
    <row r="100" spans="2:26">
      <c r="B100" s="28" t="s">
        <v>16</v>
      </c>
      <c r="C100" s="28"/>
      <c r="D100" s="28">
        <f t="shared" ref="D100:X100" si="31">D90*D95/1000000</f>
        <v>0</v>
      </c>
      <c r="E100" s="23">
        <f t="shared" si="31"/>
        <v>4.5824759999999998</v>
      </c>
      <c r="F100" s="23">
        <f t="shared" si="31"/>
        <v>6.0617999999999999</v>
      </c>
      <c r="G100" s="23">
        <f t="shared" si="31"/>
        <v>7.9089999999999998</v>
      </c>
      <c r="H100" s="23">
        <f t="shared" si="31"/>
        <v>8.76</v>
      </c>
      <c r="I100" s="23">
        <f t="shared" si="31"/>
        <v>9.6270720000000001</v>
      </c>
      <c r="J100" s="23">
        <f t="shared" si="31"/>
        <v>10.588182767400001</v>
      </c>
      <c r="K100" s="23">
        <f t="shared" si="31"/>
        <v>11.486955049315831</v>
      </c>
      <c r="L100" s="23">
        <f t="shared" si="31"/>
        <v>12.466743819332962</v>
      </c>
      <c r="M100" s="23">
        <f t="shared" si="31"/>
        <v>13.508905528965977</v>
      </c>
      <c r="N100" s="23">
        <f t="shared" si="31"/>
        <v>14.425774089212434</v>
      </c>
      <c r="O100" s="23">
        <f t="shared" si="31"/>
        <v>15.408404428041706</v>
      </c>
      <c r="P100" s="23">
        <f t="shared" si="31"/>
        <v>16.461652716804785</v>
      </c>
      <c r="Q100" s="23">
        <f t="shared" si="31"/>
        <v>17.316743998627199</v>
      </c>
      <c r="R100" s="23">
        <f t="shared" si="31"/>
        <v>18.217254121413053</v>
      </c>
      <c r="S100" s="23">
        <f t="shared" si="31"/>
        <v>19.16563338724891</v>
      </c>
      <c r="T100" s="23">
        <f t="shared" si="31"/>
        <v>20.164465688030237</v>
      </c>
      <c r="U100" s="23">
        <f t="shared" si="31"/>
        <v>21.216475839616098</v>
      </c>
      <c r="V100" s="23">
        <f t="shared" si="31"/>
        <v>22.144977378609536</v>
      </c>
      <c r="W100" s="23">
        <f t="shared" si="31"/>
        <v>23.11441602128675</v>
      </c>
      <c r="X100" s="23">
        <f t="shared" si="31"/>
        <v>24.126607764828574</v>
      </c>
    </row>
    <row r="101" spans="2:26">
      <c r="O101" s="22"/>
      <c r="P101" s="22"/>
      <c r="Q101" s="22"/>
      <c r="R101" s="22"/>
      <c r="S101" s="22"/>
      <c r="T101" s="22"/>
      <c r="U101" s="22"/>
      <c r="V101" s="22"/>
      <c r="W101" s="22"/>
      <c r="X101" s="22"/>
    </row>
    <row r="102" spans="2:26">
      <c r="B102" s="28" t="s">
        <v>17</v>
      </c>
      <c r="C102" s="28"/>
      <c r="D102" s="28">
        <f t="shared" ref="D102:X102" si="32">D100-SUM(D80:D84)-D38-D57-D85</f>
        <v>0</v>
      </c>
      <c r="E102" s="28">
        <f t="shared" si="32"/>
        <v>-3.8981668571428578</v>
      </c>
      <c r="F102" s="28">
        <f t="shared" si="32"/>
        <v>-5.1734142857142871</v>
      </c>
      <c r="G102" s="28">
        <f t="shared" si="32"/>
        <v>-6.8962857142857139</v>
      </c>
      <c r="H102" s="28">
        <f t="shared" si="32"/>
        <v>-8.421285714285716</v>
      </c>
      <c r="I102" s="28">
        <f t="shared" si="32"/>
        <v>-9.1259137142857156</v>
      </c>
      <c r="J102" s="28">
        <f t="shared" si="32"/>
        <v>-9.891102946885713</v>
      </c>
      <c r="K102" s="28">
        <f t="shared" si="32"/>
        <v>-10.769330664969884</v>
      </c>
      <c r="L102" s="28">
        <f t="shared" si="32"/>
        <v>-11.524399037809896</v>
      </c>
      <c r="M102" s="28">
        <f t="shared" si="32"/>
        <v>-11.953665899605451</v>
      </c>
      <c r="N102" s="28">
        <f t="shared" si="32"/>
        <v>-12.405125910787566</v>
      </c>
      <c r="O102" s="23">
        <f t="shared" si="32"/>
        <v>-11.707595571958294</v>
      </c>
      <c r="P102" s="23">
        <f t="shared" si="32"/>
        <v>-12.584347283195214</v>
      </c>
      <c r="Q102" s="23">
        <f t="shared" si="32"/>
        <v>-13.5342560013728</v>
      </c>
      <c r="R102" s="23">
        <f t="shared" si="32"/>
        <v>-14.562745878586949</v>
      </c>
      <c r="S102" s="23">
        <f t="shared" si="32"/>
        <v>-15.569366612751089</v>
      </c>
      <c r="T102" s="23">
        <f t="shared" si="32"/>
        <v>-16.397534311969761</v>
      </c>
      <c r="U102" s="23">
        <f t="shared" si="32"/>
        <v>-17.349524160383904</v>
      </c>
      <c r="V102" s="23">
        <f t="shared" si="32"/>
        <v>-18.360022621390467</v>
      </c>
      <c r="W102" s="23">
        <f t="shared" si="32"/>
        <v>-19.303583978713249</v>
      </c>
      <c r="X102" s="23">
        <f t="shared" si="32"/>
        <v>-20.368392235171424</v>
      </c>
    </row>
    <row r="103" spans="2:26">
      <c r="B103" s="4" t="s">
        <v>67</v>
      </c>
      <c r="D103" s="4">
        <f t="shared" ref="D103:S103" si="33">$C$11*D102</f>
        <v>0</v>
      </c>
      <c r="E103" s="4">
        <f t="shared" si="33"/>
        <v>-0.97454171428571446</v>
      </c>
      <c r="F103" s="4">
        <f t="shared" si="33"/>
        <v>-1.2933535714285718</v>
      </c>
      <c r="G103" s="4">
        <f t="shared" si="33"/>
        <v>-1.7240714285714285</v>
      </c>
      <c r="H103" s="4">
        <f t="shared" si="33"/>
        <v>-2.105321428571429</v>
      </c>
      <c r="I103" s="4">
        <f t="shared" si="33"/>
        <v>-2.2814784285714289</v>
      </c>
      <c r="J103" s="4">
        <f t="shared" si="33"/>
        <v>-2.4727757367214283</v>
      </c>
      <c r="K103" s="4">
        <f t="shared" si="33"/>
        <v>-2.6923326662424709</v>
      </c>
      <c r="L103" s="4">
        <f t="shared" si="33"/>
        <v>-2.8810997594524741</v>
      </c>
      <c r="M103" s="4">
        <f t="shared" si="33"/>
        <v>-2.9884164749013626</v>
      </c>
      <c r="N103" s="4">
        <f t="shared" si="33"/>
        <v>-3.1012814776968916</v>
      </c>
      <c r="O103" s="22">
        <f t="shared" si="33"/>
        <v>-2.9268988929895734</v>
      </c>
      <c r="P103" s="22">
        <f t="shared" si="33"/>
        <v>-3.1460868207988035</v>
      </c>
      <c r="Q103" s="22">
        <f t="shared" si="33"/>
        <v>-3.3835640003431999</v>
      </c>
      <c r="R103" s="22">
        <f t="shared" si="33"/>
        <v>-3.6406864696467371</v>
      </c>
      <c r="S103" s="22">
        <f t="shared" si="33"/>
        <v>-3.8923416531877724</v>
      </c>
      <c r="T103" s="22">
        <f t="shared" ref="T103:X103" si="34">$C$11*T102</f>
        <v>-4.0993835779924401</v>
      </c>
      <c r="U103" s="22">
        <f t="shared" si="34"/>
        <v>-4.337381040095976</v>
      </c>
      <c r="V103" s="22">
        <f t="shared" si="34"/>
        <v>-4.5900056553476167</v>
      </c>
      <c r="W103" s="22">
        <f t="shared" si="34"/>
        <v>-4.8258959946783122</v>
      </c>
      <c r="X103" s="22">
        <f t="shared" si="34"/>
        <v>-5.0920980587928559</v>
      </c>
    </row>
    <row r="104" spans="2:26">
      <c r="B104" s="28" t="s">
        <v>18</v>
      </c>
      <c r="C104" s="28"/>
      <c r="D104" s="28">
        <f t="shared" ref="D104:S104" si="35">D102-D103</f>
        <v>0</v>
      </c>
      <c r="E104" s="28">
        <f t="shared" si="35"/>
        <v>-2.9236251428571434</v>
      </c>
      <c r="F104" s="28">
        <f t="shared" si="35"/>
        <v>-3.8800607142857153</v>
      </c>
      <c r="G104" s="28">
        <f t="shared" si="35"/>
        <v>-5.1722142857142854</v>
      </c>
      <c r="H104" s="28">
        <f t="shared" si="35"/>
        <v>-6.315964285714287</v>
      </c>
      <c r="I104" s="28">
        <f t="shared" si="35"/>
        <v>-6.8444352857142867</v>
      </c>
      <c r="J104" s="28">
        <f t="shared" si="35"/>
        <v>-7.4183272101642848</v>
      </c>
      <c r="K104" s="28">
        <f t="shared" si="35"/>
        <v>-8.0769979987274123</v>
      </c>
      <c r="L104" s="28">
        <f t="shared" si="35"/>
        <v>-8.6432992783574214</v>
      </c>
      <c r="M104" s="28">
        <f t="shared" si="35"/>
        <v>-8.965249424704087</v>
      </c>
      <c r="N104" s="28">
        <f t="shared" si="35"/>
        <v>-9.3038444330906742</v>
      </c>
      <c r="O104" s="23">
        <f t="shared" si="35"/>
        <v>-8.7806966789687202</v>
      </c>
      <c r="P104" s="23">
        <f t="shared" si="35"/>
        <v>-9.4382604623964106</v>
      </c>
      <c r="Q104" s="23">
        <f t="shared" si="35"/>
        <v>-10.150692001029601</v>
      </c>
      <c r="R104" s="23">
        <f t="shared" si="35"/>
        <v>-10.922059408940211</v>
      </c>
      <c r="S104" s="23">
        <f t="shared" si="35"/>
        <v>-11.677024959563317</v>
      </c>
      <c r="T104" s="23">
        <f t="shared" ref="T104:X104" si="36">T102-T103</f>
        <v>-12.29815073397732</v>
      </c>
      <c r="U104" s="23">
        <f t="shared" si="36"/>
        <v>-13.012143120287927</v>
      </c>
      <c r="V104" s="23">
        <f t="shared" si="36"/>
        <v>-13.770016966042849</v>
      </c>
      <c r="W104" s="23">
        <f t="shared" si="36"/>
        <v>-14.477687984034937</v>
      </c>
      <c r="X104" s="23">
        <f t="shared" si="36"/>
        <v>-15.276294176378567</v>
      </c>
    </row>
    <row r="105" spans="2:26">
      <c r="B105" s="22" t="s">
        <v>28</v>
      </c>
      <c r="C105" s="22"/>
      <c r="D105" s="4">
        <f>D104</f>
        <v>0</v>
      </c>
      <c r="E105" s="4">
        <f t="shared" ref="E105:X105" si="37">IFERROR(E104/((1+$C$21)^(E89-$C$9)),0)</f>
        <v>-2.8384710124826635</v>
      </c>
      <c r="F105" s="4">
        <f t="shared" si="37"/>
        <v>-3.6573293564763083</v>
      </c>
      <c r="G105" s="4">
        <f t="shared" si="37"/>
        <v>-4.7333087639586884</v>
      </c>
      <c r="H105" s="4">
        <f t="shared" si="37"/>
        <v>-5.6116524629552096</v>
      </c>
      <c r="I105" s="4">
        <f t="shared" si="37"/>
        <v>-5.9040700016060796</v>
      </c>
      <c r="J105" s="4">
        <f t="shared" si="37"/>
        <v>-6.2127322494405641</v>
      </c>
      <c r="K105" s="4">
        <f t="shared" si="37"/>
        <v>-6.5673385099025152</v>
      </c>
      <c r="L105" s="4">
        <f t="shared" si="37"/>
        <v>-6.8231002652743253</v>
      </c>
      <c r="M105" s="4">
        <f t="shared" si="37"/>
        <v>-6.8711171687272881</v>
      </c>
      <c r="N105" s="4">
        <f t="shared" si="37"/>
        <v>-6.9229340278085427</v>
      </c>
      <c r="O105" s="22">
        <f t="shared" si="37"/>
        <v>-6.3433621042470953</v>
      </c>
      <c r="P105" s="22">
        <f t="shared" si="37"/>
        <v>-6.61980599234567</v>
      </c>
      <c r="Q105" s="22">
        <f t="shared" si="37"/>
        <v>-6.9121273199591391</v>
      </c>
      <c r="R105" s="22">
        <f t="shared" si="37"/>
        <v>-7.2207679514591572</v>
      </c>
      <c r="S105" s="22">
        <f t="shared" si="37"/>
        <v>-7.4950379803453888</v>
      </c>
      <c r="T105" s="22">
        <f t="shared" si="37"/>
        <v>-7.6638009509602494</v>
      </c>
      <c r="U105" s="22">
        <f t="shared" si="37"/>
        <v>-7.8725605834600936</v>
      </c>
      <c r="V105" s="22">
        <f t="shared" si="37"/>
        <v>-8.0884337126382952</v>
      </c>
      <c r="W105" s="22">
        <f t="shared" si="37"/>
        <v>-8.2564231578380323</v>
      </c>
      <c r="X105" s="22">
        <f t="shared" si="37"/>
        <v>-8.4581136992787194</v>
      </c>
    </row>
    <row r="107" spans="2:26" ht="15">
      <c r="B107" s="30" t="s">
        <v>20</v>
      </c>
      <c r="C107" s="30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2:26" ht="9.75" customHeight="1"/>
    <row r="109" spans="2:26">
      <c r="B109" s="27"/>
      <c r="C109" s="27"/>
      <c r="D109" s="54">
        <f>D$30</f>
        <v>2023</v>
      </c>
      <c r="E109" s="54">
        <f>E$30</f>
        <v>2024</v>
      </c>
      <c r="F109" s="54">
        <f t="shared" ref="F109:X109" si="38">F$30</f>
        <v>2025</v>
      </c>
      <c r="G109" s="54">
        <f t="shared" si="38"/>
        <v>2026</v>
      </c>
      <c r="H109" s="54">
        <f t="shared" si="38"/>
        <v>2027</v>
      </c>
      <c r="I109" s="54">
        <f t="shared" si="38"/>
        <v>2028</v>
      </c>
      <c r="J109" s="54">
        <f t="shared" si="38"/>
        <v>2029</v>
      </c>
      <c r="K109" s="54">
        <f t="shared" si="38"/>
        <v>2030</v>
      </c>
      <c r="L109" s="54">
        <f t="shared" si="38"/>
        <v>2031</v>
      </c>
      <c r="M109" s="54">
        <f t="shared" si="38"/>
        <v>2032</v>
      </c>
      <c r="N109" s="54">
        <f t="shared" si="38"/>
        <v>2033</v>
      </c>
      <c r="O109" s="3">
        <f t="shared" si="38"/>
        <v>2034</v>
      </c>
      <c r="P109" s="3">
        <f t="shared" si="38"/>
        <v>2035</v>
      </c>
      <c r="Q109" s="3">
        <f t="shared" si="38"/>
        <v>2036</v>
      </c>
      <c r="R109" s="3">
        <f t="shared" si="38"/>
        <v>2037</v>
      </c>
      <c r="S109" s="3">
        <f t="shared" si="38"/>
        <v>2038</v>
      </c>
      <c r="T109" s="3">
        <f t="shared" si="38"/>
        <v>2039</v>
      </c>
      <c r="U109" s="3">
        <f t="shared" si="38"/>
        <v>2040</v>
      </c>
      <c r="V109" s="3">
        <f t="shared" si="38"/>
        <v>2041</v>
      </c>
      <c r="W109" s="3">
        <f t="shared" si="38"/>
        <v>2042</v>
      </c>
      <c r="X109" s="3">
        <f t="shared" si="38"/>
        <v>2043</v>
      </c>
    </row>
    <row r="110" spans="2:26">
      <c r="B110" s="4" t="s">
        <v>21</v>
      </c>
      <c r="D110" s="4">
        <f>IFERROR(IF(D109&lt;$C$19,0,$C$18/$C$20),0)</f>
        <v>0</v>
      </c>
      <c r="E110" s="4">
        <f>IFERROR(IF(E109&lt;$C$19,0,IF(SUM($D$110:D110)&lt;$C$18,$C$18/$C$20,0)),0)</f>
        <v>1.3</v>
      </c>
      <c r="F110" s="4">
        <f>IFERROR(IF(F109&lt;$C$19,0,IF(SUM($D$110:E110)&lt;$C$18,$C$18/$C$20,0)),0)</f>
        <v>1.3</v>
      </c>
      <c r="G110" s="4">
        <f>IFERROR(IF(G109&lt;$C$19,0,IF(SUM($D$110:F110)&lt;$C$18,$C$18/$C$20,0)),0)</f>
        <v>1.3</v>
      </c>
      <c r="H110" s="4">
        <f>IFERROR(IF(H109&lt;$C$19,0,IF(SUM($D$110:G110)&lt;$C$18,$C$18/$C$20,0)),0)</f>
        <v>1.3</v>
      </c>
      <c r="I110" s="4">
        <f>IFERROR(IF(I109&lt;$C$19,0,IF(SUM($D$110:H110)&lt;$C$18,$C$18/$C$20,0)),0)</f>
        <v>1.3</v>
      </c>
      <c r="J110" s="4">
        <f>IFERROR(IF(J109&lt;$C$19,0,IF(SUM($D$110:I110)&lt;$C$18,$C$18/$C$20,0)),0)</f>
        <v>1.3</v>
      </c>
      <c r="K110" s="4">
        <f>IFERROR(IF(K109&lt;$C$19,0,IF(SUM($D$110:J110)&lt;$C$18,$C$18/$C$20,0)),0)</f>
        <v>1.3</v>
      </c>
      <c r="L110" s="4">
        <f>IFERROR(IF(L109&lt;$C$19,0,IF(SUM($D$110:K110)&lt;$C$18,$C$18/$C$20,0)),0)</f>
        <v>1.3</v>
      </c>
      <c r="M110" s="4">
        <f>IFERROR(IF(M109&lt;$C$19,0,IF(SUM($D$110:L110)&lt;$C$18,$C$18/$C$20,0)),0)</f>
        <v>1.3</v>
      </c>
      <c r="N110" s="4">
        <f>IFERROR(IF(N109&lt;$C$19,0,IF(SUM($D$110:M110)&lt;$C$18,$C$18/$C$20,0)),0)</f>
        <v>1.3</v>
      </c>
      <c r="O110" s="22">
        <f>IFERROR(IF(O109&lt;$C$19,0,IF(SUM($D$110:N110)&lt;$C$18,$C$18/$C$20,0)),0)</f>
        <v>0</v>
      </c>
      <c r="P110" s="22">
        <f>IFERROR(IF(P109&lt;$C$19,0,IF(SUM($D$110:O110)&lt;$C$18,$C$18/$C$20,0)),0)</f>
        <v>0</v>
      </c>
      <c r="Q110" s="22">
        <f>IFERROR(IF(Q109&lt;$C$19,0,IF(SUM($D$110:P110)&lt;$C$18,$C$18/$C$20,0)),0)</f>
        <v>0</v>
      </c>
      <c r="R110" s="22">
        <f>IFERROR(IF(R109&lt;$C$19,0,IF(SUM($D$110:Q110)&lt;$C$18,$C$18/$C$20,0)),0)</f>
        <v>0</v>
      </c>
      <c r="S110" s="22">
        <f>IFERROR(IF(S109&lt;$C$19,0,IF(SUM($D$110:R110)&lt;$C$18,$C$18/$C$20,0)),0)</f>
        <v>0</v>
      </c>
      <c r="T110" s="22">
        <f>IFERROR(IF(T109&lt;$C$19,0,IF(SUM($D$110:S110)&lt;$C$18,$C$18/$C$20,0)),0)</f>
        <v>0</v>
      </c>
      <c r="U110" s="22">
        <f>IFERROR(IF(U109&lt;$C$19,0,IF(SUM($D$110:T110)&lt;$C$18,$C$18/$C$20,0)),0)</f>
        <v>0</v>
      </c>
      <c r="V110" s="22">
        <f>IFERROR(IF(V109&lt;$C$19,0,IF(SUM($D$110:U110)&lt;$C$18,$C$18/$C$20,0)),0)</f>
        <v>0</v>
      </c>
      <c r="W110" s="22">
        <f>IFERROR(IF(W109&lt;$C$19,0,IF(SUM($D$110:V110)&lt;$C$18,$C$18/$C$20,0)),0)</f>
        <v>0</v>
      </c>
      <c r="X110" s="22">
        <f>IFERROR(IF(X109&lt;$C$19,0,IF(SUM($D$110:W110)&lt;$C$18,$C$18/$C$20,0)),0)</f>
        <v>0</v>
      </c>
    </row>
    <row r="111" spans="2:26">
      <c r="B111" s="4" t="s">
        <v>25</v>
      </c>
      <c r="D111" s="4">
        <f>IFERROR(IF(D109&lt;$C$19,0,$C$21*$C$18),0)</f>
        <v>0</v>
      </c>
      <c r="E111" s="4">
        <f>IFERROR(IF(E109&lt;$C$19,0,IF(SUM($D$110:D110)&lt;$C$18,$C$21*$C$18,0)),0)</f>
        <v>0.39</v>
      </c>
      <c r="F111" s="4">
        <f>IF(F109&lt;$C$19,0,IF(SUM($D$110:E110)&lt;$C$18,$C$21*$C$18,0))</f>
        <v>0.39</v>
      </c>
      <c r="G111" s="4">
        <f>IF(G109&lt;$C$19,0,IF(SUM($D$110:F110)&lt;$C$18,$C$21*$C$18,0))</f>
        <v>0.39</v>
      </c>
      <c r="H111" s="4">
        <f>IF(H109&lt;$C$19,0,IF(SUM($D$110:G110)&lt;$C$18,$C$21*$C$18,0))</f>
        <v>0.39</v>
      </c>
      <c r="I111" s="4">
        <f>IF(I109&lt;$C$19,0,IF(SUM($D$110:H110)&lt;$C$18,$C$21*$C$18,0))</f>
        <v>0.39</v>
      </c>
      <c r="J111" s="4">
        <f>IF(J109&lt;$C$19,0,IF(SUM($D$110:I110)&lt;$C$18,$C$21*$C$18,0))</f>
        <v>0.39</v>
      </c>
      <c r="K111" s="4">
        <f>IF(K109&lt;$C$19,0,IF(SUM($D$110:J110)&lt;$C$18,$C$21*$C$18,0))</f>
        <v>0.39</v>
      </c>
      <c r="L111" s="4">
        <f>IF(L109&lt;$C$19,0,IF(SUM($D$110:K110)&lt;$C$18,$C$21*$C$18,0))</f>
        <v>0.39</v>
      </c>
      <c r="M111" s="4">
        <f>IF(M109&lt;$C$19,0,IF(SUM($D$110:L110)&lt;$C$18,$C$21*$C$18,0))</f>
        <v>0.39</v>
      </c>
      <c r="N111" s="4">
        <f>IF(N109&lt;$C$19,0,IF(SUM($D$110:M110)&lt;$C$18,$C$21*$C$18,0))</f>
        <v>0.39</v>
      </c>
      <c r="O111" s="22">
        <f>IF(O109&lt;$C$19,0,IF(SUM($D$110:N110)&lt;$C$18,$C$21*$C$18,0))</f>
        <v>0</v>
      </c>
      <c r="P111" s="22">
        <f>IF(P109&lt;$C$19,0,IF(SUM($D$110:O110)&lt;$C$18,$C$21*$C$18,0))</f>
        <v>0</v>
      </c>
      <c r="Q111" s="22">
        <f>IF(Q109&lt;$C$19,0,IF(SUM($D$110:P110)&lt;$C$18,$C$21*$C$18,0))</f>
        <v>0</v>
      </c>
      <c r="R111" s="22">
        <f>IF(R109&lt;$C$19,0,IF(SUM($D$110:Q110)&lt;$C$18,$C$21*$C$18,0))</f>
        <v>0</v>
      </c>
      <c r="S111" s="22">
        <f>IF(S109&lt;$C$19,0,IF(SUM($D$110:R110)&lt;$C$18,$C$21*$C$18,0))</f>
        <v>0</v>
      </c>
      <c r="T111" s="22">
        <f>IF(T109&lt;$C$19,0,IF(SUM($D$110:S110)&lt;$C$18,$C$21*$C$18,0))</f>
        <v>0</v>
      </c>
      <c r="U111" s="22">
        <f>IF(U109&lt;$C$19,0,IF(SUM($D$110:T110)&lt;$C$18,$C$21*$C$18,0))</f>
        <v>0</v>
      </c>
      <c r="V111" s="22">
        <f>IF(V109&lt;$C$19,0,IF(SUM($D$110:U110)&lt;$C$18,$C$21*$C$18,0))</f>
        <v>0</v>
      </c>
      <c r="W111" s="22">
        <f>IF(W109&lt;$C$19,0,IF(SUM($D$110:V110)&lt;$C$18,$C$21*$C$18,0))</f>
        <v>0</v>
      </c>
      <c r="X111" s="22">
        <f>IF(X109&lt;$C$19,0,IF(SUM($D$110:W110)&lt;$C$18,$C$21*$C$18,0))</f>
        <v>0</v>
      </c>
    </row>
    <row r="112" spans="2:26">
      <c r="O112" s="22"/>
      <c r="P112" s="22"/>
      <c r="Q112" s="22"/>
      <c r="R112" s="22"/>
      <c r="S112" s="22"/>
      <c r="T112" s="22"/>
      <c r="U112" s="22"/>
      <c r="V112" s="22"/>
      <c r="W112" s="22"/>
      <c r="X112" s="22"/>
    </row>
    <row r="113" spans="2:27" ht="15">
      <c r="B113" s="30" t="s">
        <v>80</v>
      </c>
      <c r="C113" s="30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2:27">
      <c r="O114" s="22"/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2:27">
      <c r="B115" s="27"/>
      <c r="C115" s="27"/>
      <c r="D115" s="54">
        <f>D$30</f>
        <v>2023</v>
      </c>
      <c r="E115" s="54">
        <f>E$30</f>
        <v>2024</v>
      </c>
      <c r="F115" s="54">
        <f t="shared" ref="F115:X115" si="39">F$30</f>
        <v>2025</v>
      </c>
      <c r="G115" s="54">
        <f t="shared" si="39"/>
        <v>2026</v>
      </c>
      <c r="H115" s="54">
        <f t="shared" si="39"/>
        <v>2027</v>
      </c>
      <c r="I115" s="54">
        <f t="shared" si="39"/>
        <v>2028</v>
      </c>
      <c r="J115" s="54">
        <f t="shared" si="39"/>
        <v>2029</v>
      </c>
      <c r="K115" s="54">
        <f t="shared" si="39"/>
        <v>2030</v>
      </c>
      <c r="L115" s="54">
        <f t="shared" si="39"/>
        <v>2031</v>
      </c>
      <c r="M115" s="54">
        <f t="shared" si="39"/>
        <v>2032</v>
      </c>
      <c r="N115" s="54">
        <f t="shared" si="39"/>
        <v>2033</v>
      </c>
      <c r="O115" s="3">
        <f t="shared" si="39"/>
        <v>2034</v>
      </c>
      <c r="P115" s="3">
        <f t="shared" si="39"/>
        <v>2035</v>
      </c>
      <c r="Q115" s="3">
        <f t="shared" si="39"/>
        <v>2036</v>
      </c>
      <c r="R115" s="3">
        <f t="shared" si="39"/>
        <v>2037</v>
      </c>
      <c r="S115" s="3">
        <f t="shared" si="39"/>
        <v>2038</v>
      </c>
      <c r="T115" s="3">
        <f t="shared" si="39"/>
        <v>2039</v>
      </c>
      <c r="U115" s="3">
        <f t="shared" si="39"/>
        <v>2040</v>
      </c>
      <c r="V115" s="3">
        <f t="shared" si="39"/>
        <v>2041</v>
      </c>
      <c r="W115" s="3">
        <f t="shared" si="39"/>
        <v>2042</v>
      </c>
      <c r="X115" s="3">
        <f t="shared" si="39"/>
        <v>2043</v>
      </c>
    </row>
    <row r="116" spans="2:27">
      <c r="B116" s="4" t="s">
        <v>73</v>
      </c>
      <c r="D116" s="55"/>
      <c r="I116" s="4">
        <f t="shared" ref="I116:S116" si="40">H117</f>
        <v>0</v>
      </c>
      <c r="J116" s="4">
        <f t="shared" si="40"/>
        <v>0</v>
      </c>
      <c r="K116" s="4">
        <f t="shared" si="40"/>
        <v>0</v>
      </c>
      <c r="L116" s="4">
        <f t="shared" si="40"/>
        <v>0</v>
      </c>
      <c r="M116" s="4">
        <f t="shared" si="40"/>
        <v>0</v>
      </c>
      <c r="N116" s="4">
        <f t="shared" si="40"/>
        <v>0</v>
      </c>
      <c r="O116" s="22">
        <f t="shared" si="40"/>
        <v>0</v>
      </c>
      <c r="P116" s="22">
        <f t="shared" si="40"/>
        <v>0</v>
      </c>
      <c r="Q116" s="22">
        <f t="shared" si="40"/>
        <v>0</v>
      </c>
      <c r="R116" s="22">
        <f t="shared" si="40"/>
        <v>0</v>
      </c>
      <c r="S116" s="22">
        <f t="shared" si="40"/>
        <v>0</v>
      </c>
      <c r="T116" s="22">
        <f t="shared" ref="T116" si="41">S117</f>
        <v>0</v>
      </c>
      <c r="U116" s="22">
        <f t="shared" ref="U116" si="42">T117</f>
        <v>0</v>
      </c>
      <c r="V116" s="22">
        <f t="shared" ref="V116" si="43">U117</f>
        <v>0</v>
      </c>
      <c r="W116" s="22">
        <f t="shared" ref="W116" si="44">V117</f>
        <v>0</v>
      </c>
      <c r="X116" s="22">
        <f t="shared" ref="X116" si="45">W117</f>
        <v>0</v>
      </c>
    </row>
    <row r="117" spans="2:27">
      <c r="B117" s="4" t="s">
        <v>47</v>
      </c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18"/>
      <c r="P117" s="18"/>
      <c r="Q117" s="18"/>
      <c r="R117" s="18"/>
      <c r="S117" s="18"/>
      <c r="T117" s="18"/>
      <c r="U117" s="18"/>
      <c r="V117" s="18"/>
      <c r="W117" s="18"/>
      <c r="X117" s="18"/>
    </row>
    <row r="118" spans="2:27">
      <c r="B118" s="4" t="s">
        <v>50</v>
      </c>
      <c r="D118" s="55"/>
      <c r="I118" s="4">
        <f t="shared" ref="I118:S118" si="46">H119</f>
        <v>0</v>
      </c>
      <c r="J118" s="4">
        <f t="shared" si="46"/>
        <v>0</v>
      </c>
      <c r="K118" s="4">
        <f t="shared" si="46"/>
        <v>0</v>
      </c>
      <c r="L118" s="4">
        <f t="shared" si="46"/>
        <v>0</v>
      </c>
      <c r="M118" s="4">
        <f t="shared" si="46"/>
        <v>0</v>
      </c>
      <c r="N118" s="4">
        <f t="shared" si="46"/>
        <v>0</v>
      </c>
      <c r="O118" s="22">
        <f t="shared" si="46"/>
        <v>0</v>
      </c>
      <c r="P118" s="22">
        <f t="shared" si="46"/>
        <v>0</v>
      </c>
      <c r="Q118" s="22">
        <f t="shared" si="46"/>
        <v>0</v>
      </c>
      <c r="R118" s="22">
        <f t="shared" si="46"/>
        <v>0</v>
      </c>
      <c r="S118" s="22">
        <f t="shared" si="46"/>
        <v>0</v>
      </c>
      <c r="T118" s="22">
        <f t="shared" ref="T118" si="47">S119</f>
        <v>0</v>
      </c>
      <c r="U118" s="22">
        <f t="shared" ref="U118" si="48">T119</f>
        <v>0</v>
      </c>
      <c r="V118" s="22">
        <f t="shared" ref="V118" si="49">U119</f>
        <v>0</v>
      </c>
      <c r="W118" s="22">
        <f t="shared" ref="W118" si="50">V119</f>
        <v>0</v>
      </c>
      <c r="X118" s="22">
        <f t="shared" ref="X118" si="51">W119</f>
        <v>0</v>
      </c>
    </row>
    <row r="119" spans="2:27">
      <c r="B119" s="4" t="s">
        <v>48</v>
      </c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2:27">
      <c r="B120" s="4" t="s">
        <v>51</v>
      </c>
      <c r="D120" s="55"/>
      <c r="I120" s="4">
        <f t="shared" ref="I120:S120" si="52">H121</f>
        <v>0</v>
      </c>
      <c r="J120" s="4">
        <f t="shared" si="52"/>
        <v>0</v>
      </c>
      <c r="K120" s="4">
        <f t="shared" si="52"/>
        <v>0</v>
      </c>
      <c r="L120" s="4">
        <f t="shared" si="52"/>
        <v>0</v>
      </c>
      <c r="M120" s="4">
        <f t="shared" si="52"/>
        <v>0</v>
      </c>
      <c r="N120" s="4">
        <f t="shared" si="52"/>
        <v>0</v>
      </c>
      <c r="O120" s="22">
        <f t="shared" si="52"/>
        <v>0</v>
      </c>
      <c r="P120" s="22">
        <f t="shared" si="52"/>
        <v>0</v>
      </c>
      <c r="Q120" s="22">
        <f t="shared" si="52"/>
        <v>0</v>
      </c>
      <c r="R120" s="22">
        <f t="shared" si="52"/>
        <v>0</v>
      </c>
      <c r="S120" s="22">
        <f t="shared" si="52"/>
        <v>0</v>
      </c>
      <c r="T120" s="22">
        <f t="shared" ref="T120" si="53">S121</f>
        <v>0</v>
      </c>
      <c r="U120" s="22">
        <f t="shared" ref="U120" si="54">T121</f>
        <v>0</v>
      </c>
      <c r="V120" s="22">
        <f t="shared" ref="V120" si="55">U121</f>
        <v>0</v>
      </c>
      <c r="W120" s="22">
        <f t="shared" ref="W120" si="56">V121</f>
        <v>0</v>
      </c>
      <c r="X120" s="22">
        <f t="shared" ref="X120" si="57">W121</f>
        <v>0</v>
      </c>
    </row>
    <row r="121" spans="2:27">
      <c r="B121" s="27" t="s">
        <v>49</v>
      </c>
      <c r="C121" s="27"/>
      <c r="D121" s="56"/>
      <c r="E121" s="55"/>
      <c r="F121" s="55"/>
      <c r="G121" s="55"/>
      <c r="H121" s="55"/>
      <c r="I121" s="56"/>
      <c r="J121" s="56"/>
      <c r="K121" s="56"/>
      <c r="L121" s="56"/>
      <c r="M121" s="56"/>
      <c r="N121" s="56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spans="2:27">
      <c r="B122" s="4" t="s">
        <v>52</v>
      </c>
      <c r="D122" s="4">
        <v>0</v>
      </c>
      <c r="E122" s="73">
        <v>2.8275999999999999E-2</v>
      </c>
      <c r="F122" s="73">
        <v>9.9949999999999997E-2</v>
      </c>
      <c r="G122" s="73">
        <v>5.3450999999999999E-2</v>
      </c>
      <c r="H122" s="73">
        <f>0.000594</f>
        <v>5.9400000000000002E-4</v>
      </c>
      <c r="I122" s="71">
        <v>1.0999999999999999E-2</v>
      </c>
      <c r="J122" s="71">
        <v>1.21E-2</v>
      </c>
      <c r="K122" s="71">
        <v>1.32E-2</v>
      </c>
      <c r="L122" s="71">
        <v>1.43E-2</v>
      </c>
      <c r="M122" s="71">
        <v>1.54E-2</v>
      </c>
      <c r="N122" s="71">
        <v>1.6500000000000001E-2</v>
      </c>
      <c r="O122" s="71">
        <v>1.7600000000000001E-2</v>
      </c>
      <c r="P122" s="71">
        <v>1.8700000000000001E-2</v>
      </c>
      <c r="Q122" s="71">
        <v>1.9800000000000002E-2</v>
      </c>
      <c r="R122" s="71">
        <v>2.0899999999999998E-2</v>
      </c>
      <c r="S122" s="71">
        <v>2.1999999999999999E-2</v>
      </c>
      <c r="T122" s="71">
        <v>2.3099999999999999E-2</v>
      </c>
      <c r="U122" s="71">
        <v>2.4199999999999999E-2</v>
      </c>
      <c r="V122" s="71">
        <v>2.53E-2</v>
      </c>
      <c r="W122" s="71">
        <v>2.64E-2</v>
      </c>
      <c r="X122" s="71">
        <v>2.75E-2</v>
      </c>
    </row>
    <row r="123" spans="2:27">
      <c r="O123" s="22"/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2:27" ht="15">
      <c r="B124" s="30" t="s">
        <v>81</v>
      </c>
      <c r="C124" s="30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Z124" s="30" t="s">
        <v>54</v>
      </c>
      <c r="AA124" s="30"/>
    </row>
    <row r="125" spans="2:27" ht="8.25" customHeight="1"/>
    <row r="126" spans="2:27">
      <c r="B126" s="27"/>
      <c r="C126" s="27"/>
      <c r="D126" s="54">
        <f>D$30</f>
        <v>2023</v>
      </c>
      <c r="E126" s="54">
        <f>E$30</f>
        <v>2024</v>
      </c>
      <c r="F126" s="54">
        <f t="shared" ref="F126:X126" si="58">F$30</f>
        <v>2025</v>
      </c>
      <c r="G126" s="54">
        <f t="shared" si="58"/>
        <v>2026</v>
      </c>
      <c r="H126" s="54">
        <f t="shared" si="58"/>
        <v>2027</v>
      </c>
      <c r="I126" s="54">
        <f t="shared" si="58"/>
        <v>2028</v>
      </c>
      <c r="J126" s="54">
        <f t="shared" si="58"/>
        <v>2029</v>
      </c>
      <c r="K126" s="54">
        <f t="shared" si="58"/>
        <v>2030</v>
      </c>
      <c r="L126" s="54">
        <f t="shared" si="58"/>
        <v>2031</v>
      </c>
      <c r="M126" s="54">
        <f t="shared" si="58"/>
        <v>2032</v>
      </c>
      <c r="N126" s="54">
        <f t="shared" si="58"/>
        <v>2033</v>
      </c>
      <c r="O126" s="3">
        <f t="shared" si="58"/>
        <v>2034</v>
      </c>
      <c r="P126" s="3">
        <f t="shared" si="58"/>
        <v>2035</v>
      </c>
      <c r="Q126" s="3">
        <f t="shared" si="58"/>
        <v>2036</v>
      </c>
      <c r="R126" s="3">
        <f t="shared" si="58"/>
        <v>2037</v>
      </c>
      <c r="S126" s="3">
        <f t="shared" si="58"/>
        <v>2038</v>
      </c>
      <c r="T126" s="3">
        <f t="shared" si="58"/>
        <v>2039</v>
      </c>
      <c r="U126" s="3">
        <f t="shared" si="58"/>
        <v>2040</v>
      </c>
      <c r="V126" s="3">
        <f t="shared" si="58"/>
        <v>2041</v>
      </c>
      <c r="W126" s="3">
        <f t="shared" si="58"/>
        <v>2042</v>
      </c>
      <c r="X126" s="3">
        <f t="shared" si="58"/>
        <v>2043</v>
      </c>
      <c r="Z126" s="27"/>
      <c r="AA126" s="3">
        <f>AA30</f>
        <v>2043</v>
      </c>
    </row>
    <row r="127" spans="2:27">
      <c r="B127" s="4" t="s">
        <v>26</v>
      </c>
      <c r="D127" s="4">
        <f t="shared" ref="D127:X127" si="59">D100-SUM(D80:D85)+D103-SUM(D31:D32)-D122</f>
        <v>0</v>
      </c>
      <c r="E127" s="71">
        <f t="shared" si="59"/>
        <v>-6.1913417142857154</v>
      </c>
      <c r="F127" s="71">
        <f t="shared" si="59"/>
        <v>-9.4985035714285733</v>
      </c>
      <c r="G127" s="71">
        <f t="shared" si="59"/>
        <v>-11.99502242857143</v>
      </c>
      <c r="H127" s="72">
        <f t="shared" si="59"/>
        <v>-12.67991542857143</v>
      </c>
      <c r="I127" s="72">
        <f t="shared" si="59"/>
        <v>-9.6361064285714289</v>
      </c>
      <c r="J127" s="72">
        <f t="shared" si="59"/>
        <v>-10.593692969321427</v>
      </c>
      <c r="K127" s="72">
        <f t="shared" si="59"/>
        <v>-11.69257761692664</v>
      </c>
      <c r="L127" s="72">
        <f t="shared" si="59"/>
        <v>-12.844655940119514</v>
      </c>
      <c r="M127" s="72">
        <f t="shared" si="59"/>
        <v>-13.810910945935383</v>
      </c>
      <c r="N127" s="72">
        <f t="shared" si="59"/>
        <v>-14.882907388484458</v>
      </c>
      <c r="O127" s="72">
        <f t="shared" si="59"/>
        <v>-14.567094464947866</v>
      </c>
      <c r="P127" s="72">
        <f t="shared" si="59"/>
        <v>-15.664134103994018</v>
      </c>
      <c r="Q127" s="72">
        <f t="shared" si="59"/>
        <v>-16.852620001715998</v>
      </c>
      <c r="R127" s="72">
        <f t="shared" si="59"/>
        <v>-18.139332348233687</v>
      </c>
      <c r="S127" s="72">
        <f t="shared" si="59"/>
        <v>-19.398708265938858</v>
      </c>
      <c r="T127" s="72">
        <f t="shared" si="59"/>
        <v>-20.520017889962201</v>
      </c>
      <c r="U127" s="72">
        <f t="shared" si="59"/>
        <v>-21.711105200479881</v>
      </c>
      <c r="V127" s="72">
        <f t="shared" si="59"/>
        <v>-22.975328276738086</v>
      </c>
      <c r="W127" s="72">
        <f t="shared" si="59"/>
        <v>-24.15587997339156</v>
      </c>
      <c r="X127" s="72">
        <f t="shared" si="59"/>
        <v>-25.40299029396428</v>
      </c>
      <c r="Z127" s="4" t="s">
        <v>58</v>
      </c>
      <c r="AA127" s="4">
        <f>AA31+AA32</f>
        <v>0.47750000000000004</v>
      </c>
    </row>
    <row r="128" spans="2:27">
      <c r="B128" s="4" t="s">
        <v>27</v>
      </c>
      <c r="D128" s="4">
        <f>D127</f>
        <v>0</v>
      </c>
      <c r="E128" s="22">
        <f t="shared" ref="E128:S128" si="60">IFERROR(E127/((1+$C$21)^(E126-$C$9)),0)</f>
        <v>-6.0110113730929271</v>
      </c>
      <c r="F128" s="22">
        <f t="shared" si="60"/>
        <v>-8.9532506093209285</v>
      </c>
      <c r="G128" s="22">
        <f t="shared" si="60"/>
        <v>-10.977144729261225</v>
      </c>
      <c r="H128" s="22">
        <f t="shared" si="60"/>
        <v>-11.265940626952029</v>
      </c>
      <c r="I128" s="22">
        <f t="shared" si="60"/>
        <v>-8.3121900525464287</v>
      </c>
      <c r="J128" s="22">
        <f t="shared" si="60"/>
        <v>-8.8720510819470118</v>
      </c>
      <c r="K128" s="22">
        <f t="shared" si="60"/>
        <v>-9.5071356060463508</v>
      </c>
      <c r="L128" s="22">
        <f t="shared" si="60"/>
        <v>-10.139690010715693</v>
      </c>
      <c r="M128" s="22">
        <f t="shared" si="60"/>
        <v>-10.584913237872627</v>
      </c>
      <c r="N128" s="22">
        <f t="shared" si="60"/>
        <v>-11.074280823742797</v>
      </c>
      <c r="O128" s="22">
        <f t="shared" si="60"/>
        <v>-10.523578979702402</v>
      </c>
      <c r="P128" s="22">
        <f t="shared" si="60"/>
        <v>-10.986508501185989</v>
      </c>
      <c r="Q128" s="22">
        <f t="shared" si="60"/>
        <v>-11.475814172564341</v>
      </c>
      <c r="R128" s="22">
        <f t="shared" si="60"/>
        <v>-11.992235601078958</v>
      </c>
      <c r="S128" s="22">
        <f t="shared" si="60"/>
        <v>-12.45129266455632</v>
      </c>
      <c r="T128" s="22">
        <f t="shared" ref="T128:X128" si="61">IFERROR(T127/((1+$C$21)^(T126-$C$9)),0)</f>
        <v>-12.787396741229735</v>
      </c>
      <c r="U128" s="22">
        <f t="shared" si="61"/>
        <v>-13.135575703756267</v>
      </c>
      <c r="V128" s="22">
        <f t="shared" si="61"/>
        <v>-13.495583937969853</v>
      </c>
      <c r="W128" s="22">
        <f t="shared" si="61"/>
        <v>-13.775760814171221</v>
      </c>
      <c r="X128" s="22">
        <f t="shared" si="61"/>
        <v>-14.065019809598819</v>
      </c>
      <c r="Z128" s="4" t="s">
        <v>57</v>
      </c>
      <c r="AA128" s="22">
        <f>IFERROR(AA127/((1+$C$21)^(AA126-$C$9)),0)</f>
        <v>0.26438017262397495</v>
      </c>
    </row>
    <row r="129" spans="2:27">
      <c r="B129" s="4" t="s">
        <v>39</v>
      </c>
      <c r="D129" s="4">
        <f>D128</f>
        <v>0</v>
      </c>
      <c r="E129" s="22">
        <f>IFERROR(E127/((1+$C$14)^(E126-$C$9)),0)</f>
        <v>0</v>
      </c>
      <c r="F129" s="22">
        <f t="shared" ref="F129:S129" si="62">IFERROR(F127/((1+$C$14)^(F126-$C$9)),0)</f>
        <v>0</v>
      </c>
      <c r="G129" s="22">
        <f t="shared" si="62"/>
        <v>0</v>
      </c>
      <c r="H129" s="22">
        <f t="shared" si="62"/>
        <v>0</v>
      </c>
      <c r="I129" s="22">
        <f t="shared" si="62"/>
        <v>0</v>
      </c>
      <c r="J129" s="22">
        <f t="shared" si="62"/>
        <v>0</v>
      </c>
      <c r="K129" s="22">
        <f t="shared" si="62"/>
        <v>0</v>
      </c>
      <c r="L129" s="22">
        <f t="shared" si="62"/>
        <v>0</v>
      </c>
      <c r="M129" s="22">
        <f t="shared" si="62"/>
        <v>0</v>
      </c>
      <c r="N129" s="22">
        <f t="shared" si="62"/>
        <v>0</v>
      </c>
      <c r="O129" s="22">
        <f t="shared" si="62"/>
        <v>0</v>
      </c>
      <c r="P129" s="22">
        <f t="shared" si="62"/>
        <v>0</v>
      </c>
      <c r="Q129" s="22">
        <f t="shared" si="62"/>
        <v>0</v>
      </c>
      <c r="R129" s="22">
        <f t="shared" si="62"/>
        <v>0</v>
      </c>
      <c r="S129" s="22">
        <f t="shared" si="62"/>
        <v>0</v>
      </c>
      <c r="T129" s="22">
        <f t="shared" ref="T129:X129" si="63">IFERROR(T127/((1+$C$14)^(T126-$C$9)),0)</f>
        <v>0</v>
      </c>
      <c r="U129" s="22">
        <f t="shared" si="63"/>
        <v>0</v>
      </c>
      <c r="V129" s="22">
        <f t="shared" si="63"/>
        <v>0</v>
      </c>
      <c r="W129" s="22">
        <f t="shared" si="63"/>
        <v>0</v>
      </c>
      <c r="X129" s="22">
        <f t="shared" si="63"/>
        <v>0</v>
      </c>
      <c r="Z129" s="4" t="s">
        <v>59</v>
      </c>
      <c r="AA129" s="22">
        <f>IFERROR(AA127/((1+$C$14)^(AA126-$C$9)),0)</f>
        <v>0</v>
      </c>
    </row>
    <row r="130" spans="2:27"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</row>
    <row r="131" spans="2:27">
      <c r="B131" s="4" t="s">
        <v>29</v>
      </c>
      <c r="D131" s="4">
        <f>SUM($D$128:D128)</f>
        <v>0</v>
      </c>
      <c r="E131" s="22">
        <f>SUM($D$128:E128)</f>
        <v>-6.0110113730929271</v>
      </c>
      <c r="F131" s="22">
        <f>SUM($D$128:F128)</f>
        <v>-14.964261982413856</v>
      </c>
      <c r="G131" s="22">
        <f>SUM($D$128:G128)</f>
        <v>-25.941406711675079</v>
      </c>
      <c r="H131" s="22">
        <f>SUM($D$128:H128)</f>
        <v>-37.207347338627109</v>
      </c>
      <c r="I131" s="22">
        <f>SUM($D$128:I128)</f>
        <v>-45.519537391173536</v>
      </c>
      <c r="J131" s="22">
        <f>SUM($D$128:J128)</f>
        <v>-54.391588473120549</v>
      </c>
      <c r="K131" s="22">
        <f>SUM($D$128:K128)</f>
        <v>-63.898724079166897</v>
      </c>
      <c r="L131" s="22">
        <f>SUM($D$128:L128)</f>
        <v>-74.038414089882593</v>
      </c>
      <c r="M131" s="22">
        <f>SUM($D$128:M128)</f>
        <v>-84.62332732775522</v>
      </c>
      <c r="N131" s="22">
        <f>SUM($D$128:N128)</f>
        <v>-95.697608151498017</v>
      </c>
      <c r="O131" s="22">
        <f>SUM($D$128:O128)</f>
        <v>-106.22118713120042</v>
      </c>
      <c r="P131" s="22">
        <f>SUM($D$128:P128)</f>
        <v>-117.20769563238642</v>
      </c>
      <c r="Q131" s="22">
        <f>SUM($D$128:Q128)</f>
        <v>-128.68350980495075</v>
      </c>
      <c r="R131" s="22">
        <f>SUM($D$128:R128)</f>
        <v>-140.67574540602971</v>
      </c>
      <c r="S131" s="22">
        <f>SUM($D$128:S128)</f>
        <v>-153.12703807058602</v>
      </c>
      <c r="T131" s="22">
        <f>SUM($D$128:T128)</f>
        <v>-165.91443481181577</v>
      </c>
      <c r="U131" s="22">
        <f>SUM($D$128:U128)</f>
        <v>-179.05001051557204</v>
      </c>
      <c r="V131" s="22">
        <f>SUM($D$128:V128)</f>
        <v>-192.5455944535419</v>
      </c>
      <c r="W131" s="22">
        <f>SUM($D$128:W128)</f>
        <v>-206.3213552677131</v>
      </c>
      <c r="X131" s="22">
        <f>SUM($D$128:X128)</f>
        <v>-220.38637507731192</v>
      </c>
    </row>
    <row r="132" spans="2:27">
      <c r="B132" s="25" t="s">
        <v>30</v>
      </c>
      <c r="C132" s="25"/>
      <c r="D132" s="9">
        <f>IF(D131&gt;0,D126,0)</f>
        <v>0</v>
      </c>
      <c r="E132" s="9">
        <f>IF(SUM($D$132:D132)&gt;0,0,IF(E131&gt;0,E126,0))</f>
        <v>0</v>
      </c>
      <c r="F132" s="9">
        <f>IF(SUM($D$132:E132)&gt;0,0,IF(F131&gt;0,F126,0))</f>
        <v>0</v>
      </c>
      <c r="G132" s="9">
        <f>IF(SUM($D$132:F132)&gt;0,0,IF(G131&gt;0,G126,0))</f>
        <v>0</v>
      </c>
      <c r="H132" s="9">
        <f>IF(SUM($D$132:G132)&gt;0,0,IF(H131&gt;0,H126,0))</f>
        <v>0</v>
      </c>
      <c r="I132" s="9">
        <f>IF(SUM($D$132:H132)&gt;0,0,IF(I131&gt;0,I126,0))</f>
        <v>0</v>
      </c>
      <c r="J132" s="9">
        <f>IF(SUM($D$132:I132)&gt;0,0,IF(J131&gt;0,J126,0))</f>
        <v>0</v>
      </c>
      <c r="K132" s="9">
        <f>IF(SUM($D$132:J132)&gt;0,0,IF(K131&gt;0,K126,0))</f>
        <v>0</v>
      </c>
      <c r="L132" s="9">
        <f>IF(SUM($D$132:K132)&gt;0,0,IF(L131&gt;0,L126,0))</f>
        <v>0</v>
      </c>
      <c r="M132" s="9">
        <f>IF(SUM($D$132:L132)&gt;0,0,IF(M131&gt;0,M126,0))</f>
        <v>0</v>
      </c>
      <c r="N132" s="9">
        <f>IF(SUM($D$132:M132)&gt;0,0,IF(N131&gt;0,N126,0))</f>
        <v>0</v>
      </c>
      <c r="O132" s="9">
        <f>IF(SUM($D$132:N132)&gt;0,0,IF(O131&gt;0,O126,0))</f>
        <v>0</v>
      </c>
      <c r="P132" s="9">
        <f>IF(SUM($D$132:O132)&gt;0,0,IF(P131&gt;0,P126,0))</f>
        <v>0</v>
      </c>
      <c r="Q132" s="9">
        <f>IF(SUM($D$132:P132)&gt;0,0,IF(Q131&gt;0,Q126,0))</f>
        <v>0</v>
      </c>
      <c r="R132" s="9">
        <f>IF(SUM($D$132:Q132)&gt;0,0,IF(R131&gt;0,R126,0))</f>
        <v>0</v>
      </c>
      <c r="S132" s="9">
        <f>IF(SUM($D$132:R132)&gt;0,0,IF(S131&gt;0,S126,0))</f>
        <v>0</v>
      </c>
      <c r="T132" s="9">
        <f>IF(SUM($D$132:S132)&gt;0,0,IF(T131&gt;0,T126,0))</f>
        <v>0</v>
      </c>
      <c r="U132" s="9">
        <f>IF(SUM($D$132:T132)&gt;0,0,IF(U131&gt;0,U126,0))</f>
        <v>0</v>
      </c>
      <c r="V132" s="9">
        <f>IF(SUM($D$132:U132)&gt;0,0,IF(V131&gt;0,V126,0))</f>
        <v>0</v>
      </c>
      <c r="W132" s="9">
        <f>IF(SUM($D$132:V132)&gt;0,0,IF(W131&gt;0,W126,0))</f>
        <v>0</v>
      </c>
      <c r="X132" s="9">
        <f>IF(SUM($D$132:W132)&gt;0,0,IF(X131&gt;0,X126,0))</f>
        <v>0</v>
      </c>
    </row>
    <row r="134" spans="2:27">
      <c r="D134" s="80" t="s">
        <v>74</v>
      </c>
      <c r="E134" s="81" t="e">
        <f>IRR(D127:X127)</f>
        <v>#NUM!</v>
      </c>
    </row>
    <row r="135" spans="2:27">
      <c r="C135" s="22"/>
    </row>
    <row r="136" spans="2:27">
      <c r="E136" s="75"/>
      <c r="N136" s="75"/>
    </row>
    <row r="137" spans="2:27">
      <c r="D137" s="10"/>
    </row>
  </sheetData>
  <hyperlinks>
    <hyperlink ref="C13" location="Contrefactuel!A1" display="Onglet à remplir" xr:uid="{00000000-0004-0000-0000-000000000000}"/>
  </hyperlink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B1:AA129"/>
  <sheetViews>
    <sheetView showGridLines="0" zoomScale="90" zoomScaleNormal="90" workbookViewId="0">
      <selection activeCell="B133" sqref="B133"/>
    </sheetView>
  </sheetViews>
  <sheetFormatPr baseColWidth="10" defaultColWidth="11.42578125" defaultRowHeight="14.25" outlineLevelRow="1"/>
  <cols>
    <col min="1" max="1" width="11.42578125" style="4"/>
    <col min="2" max="2" width="65.85546875" style="4" customWidth="1"/>
    <col min="3" max="3" width="40" style="4" bestFit="1" customWidth="1"/>
    <col min="4" max="24" width="11.85546875" style="4" customWidth="1"/>
    <col min="25" max="25" width="3.85546875" style="4" customWidth="1"/>
    <col min="26" max="26" width="43" style="4" customWidth="1"/>
    <col min="27" max="27" width="12.5703125" style="4" customWidth="1"/>
    <col min="28" max="16384" width="11.42578125" style="4"/>
  </cols>
  <sheetData>
    <row r="1" spans="2:24">
      <c r="B1" s="19"/>
    </row>
    <row r="2" spans="2:24" ht="25.5">
      <c r="B2" s="29" t="s">
        <v>61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2:24">
      <c r="B3" s="19"/>
    </row>
    <row r="4" spans="2:24" ht="15">
      <c r="B4" s="30" t="s">
        <v>1</v>
      </c>
      <c r="C4" s="30"/>
    </row>
    <row r="5" spans="2:24" ht="6.75" customHeight="1"/>
    <row r="6" spans="2:24">
      <c r="B6" s="31" t="s">
        <v>44</v>
      </c>
      <c r="C6" s="32" t="s">
        <v>40</v>
      </c>
    </row>
    <row r="8" spans="2:24">
      <c r="B8" s="21" t="s">
        <v>33</v>
      </c>
      <c r="C8" s="27"/>
    </row>
    <row r="9" spans="2:24">
      <c r="B9" s="4" t="s">
        <v>0</v>
      </c>
      <c r="C9" s="2">
        <v>2023</v>
      </c>
    </row>
    <row r="10" spans="2:24">
      <c r="B10" s="4" t="s">
        <v>2</v>
      </c>
      <c r="C10" s="14">
        <v>2043</v>
      </c>
      <c r="F10" s="10"/>
    </row>
    <row r="11" spans="2:24">
      <c r="B11" s="4" t="s">
        <v>77</v>
      </c>
      <c r="C11" s="61">
        <v>0.25</v>
      </c>
    </row>
    <row r="13" spans="2:24">
      <c r="B13" s="21" t="s">
        <v>32</v>
      </c>
      <c r="C13" s="27"/>
    </row>
    <row r="14" spans="2:24">
      <c r="B14" s="4" t="s">
        <v>22</v>
      </c>
      <c r="C14" s="76">
        <v>7.5</v>
      </c>
    </row>
    <row r="15" spans="2:24">
      <c r="B15" s="19" t="s">
        <v>35</v>
      </c>
      <c r="C15" s="59">
        <v>2024</v>
      </c>
    </row>
    <row r="16" spans="2:24">
      <c r="B16" s="19" t="s">
        <v>23</v>
      </c>
      <c r="C16" s="24">
        <v>10</v>
      </c>
    </row>
    <row r="17" spans="2:27">
      <c r="B17" s="19" t="s">
        <v>24</v>
      </c>
      <c r="C17" s="16">
        <v>0.03</v>
      </c>
    </row>
    <row r="18" spans="2:27">
      <c r="B18" s="19"/>
      <c r="C18" s="19"/>
    </row>
    <row r="19" spans="2:27" ht="15">
      <c r="B19" s="30" t="s">
        <v>14</v>
      </c>
      <c r="C19" s="3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Z19" s="30" t="s">
        <v>54</v>
      </c>
      <c r="AA19" s="30"/>
    </row>
    <row r="20" spans="2:27" ht="7.5" customHeight="1"/>
    <row r="21" spans="2:27">
      <c r="B21" s="27"/>
      <c r="C21" s="27"/>
      <c r="D21" s="3">
        <f>IF(C9=0,"-",C9)</f>
        <v>2023</v>
      </c>
      <c r="E21" s="3">
        <f t="shared" ref="E21:H21" si="0">IFERROR(IF($C$10&gt;=D21+1,D21+1,"-"),"-")</f>
        <v>2024</v>
      </c>
      <c r="F21" s="3">
        <f t="shared" si="0"/>
        <v>2025</v>
      </c>
      <c r="G21" s="3">
        <f t="shared" si="0"/>
        <v>2026</v>
      </c>
      <c r="H21" s="3">
        <f t="shared" si="0"/>
        <v>2027</v>
      </c>
      <c r="I21" s="3">
        <v>2028</v>
      </c>
      <c r="J21" s="3">
        <v>2029</v>
      </c>
      <c r="K21" s="3">
        <v>2030</v>
      </c>
      <c r="L21" s="3">
        <v>2031</v>
      </c>
      <c r="M21" s="3">
        <v>2032</v>
      </c>
      <c r="N21" s="3">
        <v>2033</v>
      </c>
      <c r="O21" s="3">
        <v>2034</v>
      </c>
      <c r="P21" s="3">
        <v>2035</v>
      </c>
      <c r="Q21" s="3">
        <v>2036</v>
      </c>
      <c r="R21" s="3">
        <v>2037</v>
      </c>
      <c r="S21" s="3">
        <v>2038</v>
      </c>
      <c r="T21" s="3">
        <v>2039</v>
      </c>
      <c r="U21" s="3">
        <v>2040</v>
      </c>
      <c r="V21" s="3">
        <v>2041</v>
      </c>
      <c r="W21" s="3">
        <v>2042</v>
      </c>
      <c r="X21" s="3">
        <v>2043</v>
      </c>
      <c r="Z21" s="27"/>
      <c r="AA21" s="3">
        <f>C10</f>
        <v>2043</v>
      </c>
    </row>
    <row r="22" spans="2:27">
      <c r="B22" s="4" t="s">
        <v>4</v>
      </c>
      <c r="C22" s="8"/>
      <c r="D22" s="18"/>
      <c r="E22" s="18">
        <v>0.6</v>
      </c>
      <c r="F22" s="18">
        <v>1.5</v>
      </c>
      <c r="G22" s="18">
        <f>1.5-G23</f>
        <v>1.2749999999999999</v>
      </c>
      <c r="H22" s="18">
        <f>1.5-H23</f>
        <v>1.2250000000000001</v>
      </c>
      <c r="I22" s="18">
        <v>1.5</v>
      </c>
      <c r="J22" s="18">
        <v>1.5</v>
      </c>
      <c r="K22" s="18">
        <v>1.2310000000000001</v>
      </c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Z22" s="4" t="s">
        <v>55</v>
      </c>
      <c r="AA22" s="4">
        <f>IF(SUM($D$22:$X$22)&gt;SUM($D$29:$X$29),SUM($D$22:$X$22)-SUM($D$29:$X$29),0)</f>
        <v>0</v>
      </c>
    </row>
    <row r="23" spans="2:27">
      <c r="B23" s="27" t="s">
        <v>9</v>
      </c>
      <c r="C23" s="26"/>
      <c r="D23" s="11"/>
      <c r="E23" s="64"/>
      <c r="F23" s="64"/>
      <c r="G23" s="11">
        <v>0.22500000000000001</v>
      </c>
      <c r="H23" s="11">
        <v>0.27500000000000002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Z23" s="27" t="s">
        <v>56</v>
      </c>
      <c r="AA23" s="27">
        <f>IF(SUM($D$23:$X$23)&gt;SUM($D$48:$X$48),SUM($D$23:$X$23)-SUM($D$48:$X$48),0)</f>
        <v>6.3749999999999862E-2</v>
      </c>
    </row>
    <row r="24" spans="2:27">
      <c r="B24" s="4" t="s">
        <v>36</v>
      </c>
      <c r="C24" s="8"/>
      <c r="D24" s="4">
        <f>D23+D22</f>
        <v>0</v>
      </c>
      <c r="E24" s="4">
        <f t="shared" ref="E24:S24" si="1">IFERROR((E23+E22)/((1+$C$17)^(E21-$C$9)),0)</f>
        <v>0.58252427184466016</v>
      </c>
      <c r="F24" s="4">
        <f t="shared" si="1"/>
        <v>1.4138938637006315</v>
      </c>
      <c r="G24" s="4">
        <f t="shared" si="1"/>
        <v>1.3727124890297393</v>
      </c>
      <c r="H24" s="4">
        <f t="shared" si="1"/>
        <v>1.3327305718735334</v>
      </c>
      <c r="I24" s="4">
        <f t="shared" si="1"/>
        <v>1.2939131765762462</v>
      </c>
      <c r="J24" s="4">
        <f t="shared" si="1"/>
        <v>1.2562263850254816</v>
      </c>
      <c r="K24" s="4">
        <f t="shared" si="1"/>
        <v>1.0009156504636685</v>
      </c>
      <c r="L24" s="4">
        <f t="shared" si="1"/>
        <v>0</v>
      </c>
      <c r="M24" s="4">
        <f t="shared" si="1"/>
        <v>0</v>
      </c>
      <c r="N24" s="4">
        <f t="shared" si="1"/>
        <v>0</v>
      </c>
      <c r="O24" s="4">
        <f t="shared" si="1"/>
        <v>0</v>
      </c>
      <c r="P24" s="4">
        <f t="shared" si="1"/>
        <v>0</v>
      </c>
      <c r="Q24" s="4">
        <f t="shared" si="1"/>
        <v>0</v>
      </c>
      <c r="R24" s="4">
        <f t="shared" si="1"/>
        <v>0</v>
      </c>
      <c r="S24" s="4">
        <f t="shared" si="1"/>
        <v>0</v>
      </c>
      <c r="T24" s="4">
        <f t="shared" ref="T24:X24" si="2">IFERROR((T23+T22)/((1+$C$17)^(T21-$C$9)),0)</f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4">
        <f t="shared" si="2"/>
        <v>0</v>
      </c>
      <c r="Z24" s="4" t="s">
        <v>57</v>
      </c>
      <c r="AA24" s="4">
        <f>IFERROR((AA23+AA22)/((1+$C$17)^(AA21-$C$9)),0)</f>
        <v>3.5296829329378776E-2</v>
      </c>
    </row>
    <row r="26" spans="2:27" ht="15">
      <c r="B26" s="30" t="s">
        <v>15</v>
      </c>
      <c r="C26" s="3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2:27" ht="6.75" customHeight="1"/>
    <row r="28" spans="2:27">
      <c r="B28" s="27"/>
      <c r="C28" s="27" t="s">
        <v>12</v>
      </c>
      <c r="D28" s="3">
        <f>D21</f>
        <v>2023</v>
      </c>
      <c r="E28" s="3">
        <f t="shared" ref="E28:S28" si="3">E21</f>
        <v>2024</v>
      </c>
      <c r="F28" s="3">
        <f t="shared" si="3"/>
        <v>2025</v>
      </c>
      <c r="G28" s="3">
        <f t="shared" si="3"/>
        <v>2026</v>
      </c>
      <c r="H28" s="3">
        <f t="shared" si="3"/>
        <v>2027</v>
      </c>
      <c r="I28" s="3">
        <f t="shared" si="3"/>
        <v>2028</v>
      </c>
      <c r="J28" s="3">
        <f t="shared" si="3"/>
        <v>2029</v>
      </c>
      <c r="K28" s="3">
        <f t="shared" si="3"/>
        <v>2030</v>
      </c>
      <c r="L28" s="3">
        <f t="shared" si="3"/>
        <v>2031</v>
      </c>
      <c r="M28" s="3">
        <f t="shared" si="3"/>
        <v>2032</v>
      </c>
      <c r="N28" s="3">
        <f t="shared" si="3"/>
        <v>2033</v>
      </c>
      <c r="O28" s="3">
        <f t="shared" si="3"/>
        <v>2034</v>
      </c>
      <c r="P28" s="3">
        <f t="shared" si="3"/>
        <v>2035</v>
      </c>
      <c r="Q28" s="3">
        <f t="shared" si="3"/>
        <v>2036</v>
      </c>
      <c r="R28" s="3">
        <f t="shared" si="3"/>
        <v>2037</v>
      </c>
      <c r="S28" s="3">
        <f t="shared" si="3"/>
        <v>2038</v>
      </c>
      <c r="T28" s="3">
        <f t="shared" ref="T28:X28" si="4">T21</f>
        <v>2039</v>
      </c>
      <c r="U28" s="3">
        <f t="shared" si="4"/>
        <v>2040</v>
      </c>
      <c r="V28" s="3">
        <f t="shared" si="4"/>
        <v>2041</v>
      </c>
      <c r="W28" s="3">
        <f t="shared" si="4"/>
        <v>2042</v>
      </c>
      <c r="X28" s="3">
        <f t="shared" si="4"/>
        <v>2043</v>
      </c>
    </row>
    <row r="29" spans="2:27">
      <c r="B29" s="4" t="s">
        <v>13</v>
      </c>
      <c r="C29" s="6">
        <v>7</v>
      </c>
      <c r="D29" s="20">
        <f>SUM(D30:D46)</f>
        <v>0</v>
      </c>
      <c r="E29" s="20">
        <f t="shared" ref="E29:S29" si="5">SUM(E30:E46)</f>
        <v>8.5714285714285715E-2</v>
      </c>
      <c r="F29" s="20">
        <f t="shared" si="5"/>
        <v>0.3</v>
      </c>
      <c r="G29" s="20">
        <f t="shared" si="5"/>
        <v>0.4821428571428571</v>
      </c>
      <c r="H29" s="20">
        <f t="shared" si="5"/>
        <v>0.65714285714285714</v>
      </c>
      <c r="I29" s="20">
        <f t="shared" si="5"/>
        <v>0.87142857142857144</v>
      </c>
      <c r="J29" s="20">
        <f t="shared" si="5"/>
        <v>1.0857142857142856</v>
      </c>
      <c r="K29" s="20">
        <f t="shared" si="5"/>
        <v>1.2615714285714286</v>
      </c>
      <c r="L29" s="20">
        <f t="shared" si="5"/>
        <v>1.1758571428571429</v>
      </c>
      <c r="M29" s="20">
        <f t="shared" si="5"/>
        <v>0.96157142857142852</v>
      </c>
      <c r="N29" s="20">
        <f t="shared" si="5"/>
        <v>0.77942857142857136</v>
      </c>
      <c r="O29" s="20">
        <f t="shared" si="5"/>
        <v>0.60442857142857143</v>
      </c>
      <c r="P29" s="20">
        <f t="shared" si="5"/>
        <v>0.39014285714285712</v>
      </c>
      <c r="Q29" s="20">
        <f t="shared" si="5"/>
        <v>0.17585714285714288</v>
      </c>
      <c r="R29" s="20">
        <f t="shared" si="5"/>
        <v>0</v>
      </c>
      <c r="S29" s="20">
        <f t="shared" si="5"/>
        <v>0</v>
      </c>
      <c r="T29" s="20">
        <f t="shared" ref="T29:X29" si="6">SUM(T30:T46)</f>
        <v>0</v>
      </c>
      <c r="U29" s="20">
        <f t="shared" si="6"/>
        <v>0</v>
      </c>
      <c r="V29" s="20">
        <f t="shared" si="6"/>
        <v>0</v>
      </c>
      <c r="W29" s="20">
        <f t="shared" si="6"/>
        <v>0</v>
      </c>
      <c r="X29" s="20">
        <f t="shared" si="6"/>
        <v>0</v>
      </c>
    </row>
    <row r="30" spans="2:27" hidden="1" outlineLevel="1">
      <c r="B30" s="33">
        <f>D21</f>
        <v>2023</v>
      </c>
      <c r="C30" s="6">
        <f t="shared" ref="C30:C46" si="7">$C$29</f>
        <v>7</v>
      </c>
      <c r="D30" s="22">
        <f>IFERROR(IF(D$22&gt;0,D$22/$C$30,0),0)</f>
        <v>0</v>
      </c>
      <c r="E30" s="22">
        <f>IFERROR(IF(SUM($D30:D30)=$D22,0,$D22/$C30),0)</f>
        <v>0</v>
      </c>
      <c r="F30" s="22">
        <f>IFERROR(IF(SUM($D30:E30)=$D22,0,$D22/$C30),0)</f>
        <v>0</v>
      </c>
      <c r="G30" s="22">
        <f>IFERROR(IF(SUM($D30:F30)=$D22,0,$D22/$C30),0)</f>
        <v>0</v>
      </c>
      <c r="H30" s="22">
        <f>IFERROR(IF(SUM($D30:G30)=$D22,0,$D22/$C30),0)</f>
        <v>0</v>
      </c>
      <c r="I30" s="22">
        <f>IFERROR(IF(SUM($D30:H30)=$D22,0,$D22/$C30),0)</f>
        <v>0</v>
      </c>
      <c r="J30" s="22">
        <f>IFERROR(IF(SUM($D30:I30)=$D22,0,$D22/$C30),0)</f>
        <v>0</v>
      </c>
      <c r="K30" s="22">
        <f>IFERROR(IF(SUM($D30:J30)=$D22,0,$D22/$C30),0)</f>
        <v>0</v>
      </c>
      <c r="L30" s="22">
        <f>IFERROR(IF(SUM($D30:K30)=$D22,0,$D22/$C30),0)</f>
        <v>0</v>
      </c>
      <c r="M30" s="22">
        <f>IFERROR(IF(SUM($D30:L30)=$D22,0,$D22/$C30),0)</f>
        <v>0</v>
      </c>
      <c r="N30" s="22">
        <f>IFERROR(IF(SUM($D30:M30)=$D22,0,$D22/$C30),0)</f>
        <v>0</v>
      </c>
      <c r="O30" s="22">
        <f>IFERROR(IF(SUM($D30:N30)=$D22,0,$D22/$C30),0)</f>
        <v>0</v>
      </c>
      <c r="P30" s="22">
        <f>IFERROR(IF(SUM($D30:O30)=$D22,0,$D22/$C30),0)</f>
        <v>0</v>
      </c>
      <c r="Q30" s="22">
        <f>IFERROR(IF(SUM($D30:P30)=$D22,0,$D22/$C30),0)</f>
        <v>0</v>
      </c>
      <c r="R30" s="22">
        <f>IFERROR(IF(SUM($D30:Q30)=$D22,0,$D22/$C30),0)</f>
        <v>0</v>
      </c>
      <c r="S30" s="22">
        <f>IFERROR(IF(SUM($D30:R30)=$D22,0,$D22/$C30),0)</f>
        <v>0</v>
      </c>
      <c r="T30" s="22">
        <f>IFERROR(IF(SUM($D30:S30)=$D22,0,$D22/$C30),0)</f>
        <v>0</v>
      </c>
      <c r="U30" s="22">
        <f>IFERROR(IF(SUM($D30:T30)=$D22,0,$D22/$C30),0)</f>
        <v>0</v>
      </c>
      <c r="V30" s="22">
        <f>IFERROR(IF(SUM($D30:U30)=$D22,0,$D22/$C30),0)</f>
        <v>0</v>
      </c>
      <c r="W30" s="22">
        <f>IFERROR(IF(SUM($D30:V30)=$D22,0,$D22/$C30),0)</f>
        <v>0</v>
      </c>
      <c r="X30" s="22">
        <f>IFERROR(IF(SUM($D30:W30)=$D22,0,$D22/$C30),0)</f>
        <v>0</v>
      </c>
    </row>
    <row r="31" spans="2:27" hidden="1" outlineLevel="1">
      <c r="B31" s="33">
        <f>E21</f>
        <v>2024</v>
      </c>
      <c r="C31" s="6">
        <f t="shared" si="7"/>
        <v>7</v>
      </c>
      <c r="D31" s="22"/>
      <c r="E31" s="22">
        <f>IFERROR(IF(E$22&gt;0,E$22/$C31,0),0)</f>
        <v>8.5714285714285715E-2</v>
      </c>
      <c r="F31" s="22">
        <f>IFERROR(IF(SUM($D31:E31)=$E22,0,$E22/$C31),0)</f>
        <v>8.5714285714285715E-2</v>
      </c>
      <c r="G31" s="22">
        <f>IFERROR(IF(SUM($D31:F31)=$E22,0,$E22/$C31),0)</f>
        <v>8.5714285714285715E-2</v>
      </c>
      <c r="H31" s="22">
        <f>IFERROR(IF(SUM($D31:G31)=$E22,0,$E22/$C31),0)</f>
        <v>8.5714285714285715E-2</v>
      </c>
      <c r="I31" s="22">
        <f>IFERROR(IF(SUM($D31:H31)=$E22,0,$E22/$C31),0)</f>
        <v>8.5714285714285715E-2</v>
      </c>
      <c r="J31" s="22">
        <f>IFERROR(IF(SUM($D31:I31)=$E22,0,$E22/$C31),0)</f>
        <v>8.5714285714285715E-2</v>
      </c>
      <c r="K31" s="22">
        <f>IFERROR(IF(SUM($D31:J31)=$E22,0,$E22/$C31),0)</f>
        <v>8.5714285714285715E-2</v>
      </c>
      <c r="L31" s="22">
        <f>IFERROR(IF(SUM($D31:K31)=$E22,0,$E22/$C31),0)</f>
        <v>0</v>
      </c>
      <c r="M31" s="22">
        <f>IFERROR(IF(SUM($D31:L31)=$E22,0,$E22/$C31),0)</f>
        <v>0</v>
      </c>
      <c r="N31" s="22">
        <f>IFERROR(IF(SUM($D31:M31)=$E22,0,$E22/$C31),0)</f>
        <v>0</v>
      </c>
      <c r="O31" s="22">
        <f>IFERROR(IF(SUM($D31:N31)=$E22,0,$E22/$C31),0)</f>
        <v>0</v>
      </c>
      <c r="P31" s="22">
        <f>IFERROR(IF(SUM($D31:O31)=$E22,0,$E22/$C31),0)</f>
        <v>0</v>
      </c>
      <c r="Q31" s="22">
        <f>IFERROR(IF(SUM($D31:P31)=$E22,0,$E22/$C31),0)</f>
        <v>0</v>
      </c>
      <c r="R31" s="22">
        <f>IFERROR(IF(SUM($D31:Q31)=$E22,0,$E22/$C31),0)</f>
        <v>0</v>
      </c>
      <c r="S31" s="22">
        <f>IFERROR(IF(SUM($D31:R31)=$E22,0,$E22/$C31),0)</f>
        <v>0</v>
      </c>
      <c r="T31" s="22">
        <f>IFERROR(IF(SUM($D31:S31)=$E22,0,$E22/$C31),0)</f>
        <v>0</v>
      </c>
      <c r="U31" s="22">
        <f>IFERROR(IF(SUM($D31:T31)=$E22,0,$E22/$C31),0)</f>
        <v>0</v>
      </c>
      <c r="V31" s="22">
        <f>IFERROR(IF(SUM($D31:U31)=$E22,0,$E22/$C31),0)</f>
        <v>0</v>
      </c>
      <c r="W31" s="22">
        <f>IFERROR(IF(SUM($D31:V31)=$E22,0,$E22/$C31),0)</f>
        <v>0</v>
      </c>
      <c r="X31" s="22">
        <f>IFERROR(IF(SUM($D31:W31)=$E22,0,$E22/$C31),0)</f>
        <v>0</v>
      </c>
    </row>
    <row r="32" spans="2:27" hidden="1" outlineLevel="1">
      <c r="B32" s="33">
        <f>F21</f>
        <v>2025</v>
      </c>
      <c r="C32" s="6">
        <f t="shared" si="7"/>
        <v>7</v>
      </c>
      <c r="D32" s="22"/>
      <c r="E32" s="22"/>
      <c r="F32" s="22">
        <f>IFERROR(IF(F$22&gt;0,F$22/$C32,0),0)</f>
        <v>0.21428571428571427</v>
      </c>
      <c r="G32" s="22">
        <f>IFERROR(IF(SUM($D32:F32)=$F22,0,$F22/$C32),0)</f>
        <v>0.21428571428571427</v>
      </c>
      <c r="H32" s="22">
        <f>IFERROR(IF(SUM($D32:G32)=$F22,0,$F22/$C32),0)</f>
        <v>0.21428571428571427</v>
      </c>
      <c r="I32" s="22">
        <f>IFERROR(IF(SUM($D32:H32)=$F22,0,$F22/$C32),0)</f>
        <v>0.21428571428571427</v>
      </c>
      <c r="J32" s="22">
        <f>IFERROR(IF(SUM($D32:I32)=$F22,0,$F22/$C32),0)</f>
        <v>0.21428571428571427</v>
      </c>
      <c r="K32" s="22">
        <f>IFERROR(IF(SUM($D32:J32)=$F22,0,$F22/$C32),0)</f>
        <v>0.21428571428571427</v>
      </c>
      <c r="L32" s="22">
        <f>IFERROR(IF(SUM($D32:K32)=$F22,0,$F22/$C32),0)</f>
        <v>0.21428571428571427</v>
      </c>
      <c r="M32" s="22">
        <f>IFERROR(IF(SUM($D32:L32)=$F22,0,$F22/$C32),0)</f>
        <v>0</v>
      </c>
      <c r="N32" s="22">
        <f>IFERROR(IF(SUM($D32:M32)=$F22,0,$F22/$C32),0)</f>
        <v>0</v>
      </c>
      <c r="O32" s="22">
        <f>IFERROR(IF(SUM($D32:N32)=$F22,0,$F22/$C32),0)</f>
        <v>0</v>
      </c>
      <c r="P32" s="22">
        <f>IFERROR(IF(SUM($D32:O32)=$F22,0,$F22/$C32),0)</f>
        <v>0</v>
      </c>
      <c r="Q32" s="22">
        <f>IFERROR(IF(SUM($D32:P32)=$F22,0,$F22/$C32),0)</f>
        <v>0</v>
      </c>
      <c r="R32" s="22">
        <f>IFERROR(IF(SUM($D32:Q32)=$F22,0,$F22/$C32),0)</f>
        <v>0</v>
      </c>
      <c r="S32" s="22">
        <f>IFERROR(IF(SUM($D32:R32)=$F22,0,$F22/$C32),0)</f>
        <v>0</v>
      </c>
      <c r="T32" s="22">
        <f>IFERROR(IF(SUM($D32:S32)=$F22,0,$F22/$C32),0)</f>
        <v>0</v>
      </c>
      <c r="U32" s="22">
        <f>IFERROR(IF(SUM($D32:T32)=$F22,0,$F22/$C32),0)</f>
        <v>0</v>
      </c>
      <c r="V32" s="22">
        <f>IFERROR(IF(SUM($D32:U32)=$F22,0,$F22/$C32),0)</f>
        <v>0</v>
      </c>
      <c r="W32" s="22">
        <f>IFERROR(IF(SUM($D32:V32)=$F22,0,$F22/$C32),0)</f>
        <v>0</v>
      </c>
      <c r="X32" s="22">
        <f>IFERROR(IF(SUM($D32:W32)=$F22,0,$F22/$C32),0)</f>
        <v>0</v>
      </c>
    </row>
    <row r="33" spans="2:24" hidden="1" outlineLevel="1">
      <c r="B33" s="33">
        <f>G21</f>
        <v>2026</v>
      </c>
      <c r="C33" s="6">
        <f t="shared" si="7"/>
        <v>7</v>
      </c>
      <c r="D33" s="22"/>
      <c r="E33" s="22"/>
      <c r="F33" s="22"/>
      <c r="G33" s="22">
        <f>IFERROR(IF(G$22&gt;0,G$22/$C33,0),0)</f>
        <v>0.18214285714285713</v>
      </c>
      <c r="H33" s="22">
        <f>IFERROR(IF(SUM($D33:G33)=$G22,0,$G22/$C33),0)</f>
        <v>0.18214285714285713</v>
      </c>
      <c r="I33" s="22">
        <f>IFERROR(IF(SUM($D33:H33)=$G22,0,$G22/$C33),0)</f>
        <v>0.18214285714285713</v>
      </c>
      <c r="J33" s="22">
        <f>IFERROR(IF(SUM($D33:I33)=$G22,0,$G22/$C33),0)</f>
        <v>0.18214285714285713</v>
      </c>
      <c r="K33" s="22">
        <f>IFERROR(IF(SUM($D33:J33)=$G22,0,$G22/$C33),0)</f>
        <v>0.18214285714285713</v>
      </c>
      <c r="L33" s="22">
        <f>IFERROR(IF(SUM($D33:K33)=$G22,0,$G22/$C33),0)</f>
        <v>0.18214285714285713</v>
      </c>
      <c r="M33" s="22">
        <f>IFERROR(IF(SUM($D33:L33)=$G22,0,$G22/$C33),0)</f>
        <v>0.18214285714285713</v>
      </c>
      <c r="N33" s="22">
        <f>IFERROR(IF(SUM($D33:M33)=$G22,0,$G22/$C33),0)</f>
        <v>0</v>
      </c>
      <c r="O33" s="22">
        <f>IFERROR(IF(SUM($D33:N33)=$G22,0,$G22/$C33),0)</f>
        <v>0</v>
      </c>
      <c r="P33" s="22">
        <f>IFERROR(IF(SUM($D33:O33)=$G22,0,$G22/$C33),0)</f>
        <v>0</v>
      </c>
      <c r="Q33" s="22">
        <f>IFERROR(IF(SUM($D33:P33)=$G22,0,$G22/$C33),0)</f>
        <v>0</v>
      </c>
      <c r="R33" s="22">
        <f>IFERROR(IF(SUM($D33:Q33)=$G22,0,$G22/$C33),0)</f>
        <v>0</v>
      </c>
      <c r="S33" s="22">
        <f>IFERROR(IF(SUM($D33:R33)=$G22,0,$G22/$C33),0)</f>
        <v>0</v>
      </c>
      <c r="T33" s="22">
        <f>IFERROR(IF(SUM($D33:S33)=$G22,0,$G22/$C33),0)</f>
        <v>0</v>
      </c>
      <c r="U33" s="22">
        <f>IFERROR(IF(SUM($D33:T33)=$G22,0,$G22/$C33),0)</f>
        <v>0</v>
      </c>
      <c r="V33" s="22">
        <f>IFERROR(IF(SUM($D33:U33)=$G22,0,$G22/$C33),0)</f>
        <v>0</v>
      </c>
      <c r="W33" s="22">
        <f>IFERROR(IF(SUM($D33:V33)=$G22,0,$G22/$C33),0)</f>
        <v>0</v>
      </c>
      <c r="X33" s="22">
        <f>IFERROR(IF(SUM($D33:W33)=$G22,0,$G22/$C33),0)</f>
        <v>0</v>
      </c>
    </row>
    <row r="34" spans="2:24" hidden="1" outlineLevel="1">
      <c r="B34" s="33">
        <f>H21</f>
        <v>2027</v>
      </c>
      <c r="C34" s="6">
        <f t="shared" si="7"/>
        <v>7</v>
      </c>
      <c r="D34" s="22"/>
      <c r="E34" s="22"/>
      <c r="F34" s="22"/>
      <c r="G34" s="22"/>
      <c r="H34" s="22">
        <f>IFERROR(IF(H$22&gt;0,H$22/$C34,0),0)</f>
        <v>0.17500000000000002</v>
      </c>
      <c r="I34" s="22">
        <f>IFERROR(IF(SUM($D34:H34)=$H22,0,$H22/$C34),0)</f>
        <v>0.17500000000000002</v>
      </c>
      <c r="J34" s="22">
        <f>IFERROR(IF(SUM($D34:I34)=$H22,0,$H22/$C34),0)</f>
        <v>0.17500000000000002</v>
      </c>
      <c r="K34" s="22">
        <f>IFERROR(IF(SUM($D34:J34)=$H22,0,$H22/$C34),0)</f>
        <v>0.17500000000000002</v>
      </c>
      <c r="L34" s="22">
        <f>IFERROR(IF(SUM($D34:K34)=$H22,0,$H22/$C34),0)</f>
        <v>0.17500000000000002</v>
      </c>
      <c r="M34" s="22">
        <f>IFERROR(IF(SUM($D34:L34)=$H22,0,$H22/$C34),0)</f>
        <v>0.17500000000000002</v>
      </c>
      <c r="N34" s="22">
        <f>IFERROR(IF(SUM($D34:M34)=$H22,0,$H22/$C34),0)</f>
        <v>0.17500000000000002</v>
      </c>
      <c r="O34" s="22">
        <f>IFERROR(IF(SUM($D34:N34)=$H22,0,$H22/$C34),0)</f>
        <v>0</v>
      </c>
      <c r="P34" s="22">
        <f>IFERROR(IF(SUM($D34:O34)=$H22,0,$H22/$C34),0)</f>
        <v>0</v>
      </c>
      <c r="Q34" s="22">
        <f>IFERROR(IF(SUM($D34:P34)=$H22,0,$H22/$C34),0)</f>
        <v>0</v>
      </c>
      <c r="R34" s="22">
        <f>IFERROR(IF(SUM($D34:Q34)=$H22,0,$H22/$C34),0)</f>
        <v>0</v>
      </c>
      <c r="S34" s="22">
        <f>IFERROR(IF(SUM($D34:R34)=$H22,0,$H22/$C34),0)</f>
        <v>0</v>
      </c>
      <c r="T34" s="22">
        <f>IFERROR(IF(SUM($D34:S34)=$H22,0,$H22/$C34),0)</f>
        <v>0</v>
      </c>
      <c r="U34" s="22">
        <f>IFERROR(IF(SUM($D34:T34)=$H22,0,$H22/$C34),0)</f>
        <v>0</v>
      </c>
      <c r="V34" s="22">
        <f>IFERROR(IF(SUM($D34:U34)=$H22,0,$H22/$C34),0)</f>
        <v>0</v>
      </c>
      <c r="W34" s="22">
        <f>IFERROR(IF(SUM($D34:V34)=$H22,0,$H22/$C34),0)</f>
        <v>0</v>
      </c>
      <c r="X34" s="22">
        <f>IFERROR(IF(SUM($D34:W34)=$H22,0,$H22/$C34),0)</f>
        <v>0</v>
      </c>
    </row>
    <row r="35" spans="2:24" hidden="1" outlineLevel="1">
      <c r="B35" s="33">
        <f>I21</f>
        <v>2028</v>
      </c>
      <c r="C35" s="6">
        <f t="shared" si="7"/>
        <v>7</v>
      </c>
      <c r="D35" s="22"/>
      <c r="E35" s="22"/>
      <c r="F35" s="22"/>
      <c r="G35" s="22"/>
      <c r="H35" s="22"/>
      <c r="I35" s="22">
        <f>IFERROR(IF(I$22&gt;0,I$22/$C35,0),0)</f>
        <v>0.21428571428571427</v>
      </c>
      <c r="J35" s="22">
        <f>IFERROR(IF(SUM($D35:I35)=$I22,0,$I22/$C35),0)</f>
        <v>0.21428571428571427</v>
      </c>
      <c r="K35" s="22">
        <f>IFERROR(IF(SUM($D35:J35)=$I22,0,$I22/$C35),0)</f>
        <v>0.21428571428571427</v>
      </c>
      <c r="L35" s="22">
        <f>IFERROR(IF(SUM($D35:K35)=$I22,0,$I22/$C35),0)</f>
        <v>0.21428571428571427</v>
      </c>
      <c r="M35" s="22">
        <f>IFERROR(IF(SUM($D35:L35)=$I22,0,$I22/$C35),0)</f>
        <v>0.21428571428571427</v>
      </c>
      <c r="N35" s="22">
        <f>IFERROR(IF(SUM($D35:M35)=$I22,0,$I22/$C35),0)</f>
        <v>0.21428571428571427</v>
      </c>
      <c r="O35" s="22">
        <f>IFERROR(IF(SUM($D35:N35)=$I22,0,$I22/$C35),0)</f>
        <v>0.21428571428571427</v>
      </c>
      <c r="P35" s="22">
        <f>IFERROR(IF(SUM($D35:O35)=$I22,0,$I22/$C35),0)</f>
        <v>0</v>
      </c>
      <c r="Q35" s="22">
        <f>IFERROR(IF(SUM($D35:P35)=$I22,0,$I22/$C35),0)</f>
        <v>0</v>
      </c>
      <c r="R35" s="22">
        <f>IFERROR(IF(SUM($D35:Q35)=$I22,0,$I22/$C35),0)</f>
        <v>0</v>
      </c>
      <c r="S35" s="22">
        <f>IFERROR(IF(SUM($D35:R35)=$I22,0,$I22/$C35),0)</f>
        <v>0</v>
      </c>
      <c r="T35" s="22">
        <f>IFERROR(IF(SUM($D35:S35)=$I22,0,$I22/$C35),0)</f>
        <v>0</v>
      </c>
      <c r="U35" s="22">
        <f>IFERROR(IF(SUM($D35:T35)=$I22,0,$I22/$C35),0)</f>
        <v>0</v>
      </c>
      <c r="V35" s="22">
        <f>IFERROR(IF(SUM($D35:U35)=$I22,0,$I22/$C35),0)</f>
        <v>0</v>
      </c>
      <c r="W35" s="22">
        <f>IFERROR(IF(SUM($D35:V35)=$I22,0,$I22/$C35),0)</f>
        <v>0</v>
      </c>
      <c r="X35" s="22">
        <f>IFERROR(IF(SUM($D35:W35)=$I22,0,$I22/$C35),0)</f>
        <v>0</v>
      </c>
    </row>
    <row r="36" spans="2:24" hidden="1" outlineLevel="1">
      <c r="B36" s="33">
        <f>J21</f>
        <v>2029</v>
      </c>
      <c r="C36" s="6">
        <f t="shared" si="7"/>
        <v>7</v>
      </c>
      <c r="D36" s="22"/>
      <c r="E36" s="22"/>
      <c r="F36" s="22"/>
      <c r="G36" s="22"/>
      <c r="H36" s="22"/>
      <c r="I36" s="22"/>
      <c r="J36" s="22">
        <f>IFERROR(IF(J$22&gt;0,J$22/$C36,0),0)</f>
        <v>0.21428571428571427</v>
      </c>
      <c r="K36" s="22">
        <f>IFERROR(IF(SUM($D36:J36)=$J22,0,$J22/$C36),0)</f>
        <v>0.21428571428571427</v>
      </c>
      <c r="L36" s="22">
        <f>IFERROR(IF(SUM($D36:K36)=$J22,0,$J22/$C36),0)</f>
        <v>0.21428571428571427</v>
      </c>
      <c r="M36" s="22">
        <f>IFERROR(IF(SUM($D36:L36)=$J22,0,$J22/$C36),0)</f>
        <v>0.21428571428571427</v>
      </c>
      <c r="N36" s="22">
        <f>IFERROR(IF(SUM($D36:M36)=$J22,0,$J22/$C36),0)</f>
        <v>0.21428571428571427</v>
      </c>
      <c r="O36" s="22">
        <f>IFERROR(IF(SUM($D36:N36)=$J22,0,$J22/$C36),0)</f>
        <v>0.21428571428571427</v>
      </c>
      <c r="P36" s="22">
        <f>IFERROR(IF(SUM($D36:O36)=$J22,0,$J22/$C36),0)</f>
        <v>0.21428571428571427</v>
      </c>
      <c r="Q36" s="22">
        <f>IFERROR(IF(SUM($D36:P36)=$J22,0,$J22/$C36),0)</f>
        <v>0</v>
      </c>
      <c r="R36" s="22">
        <f>IFERROR(IF(SUM($D36:Q36)=$J22,0,$J22/$C36),0)</f>
        <v>0</v>
      </c>
      <c r="S36" s="22">
        <f>IFERROR(IF(SUM($D36:R36)=$J22,0,$J22/$C36),0)</f>
        <v>0</v>
      </c>
      <c r="T36" s="22">
        <f>IFERROR(IF(SUM($D36:S36)=$J22,0,$J22/$C36),0)</f>
        <v>0</v>
      </c>
      <c r="U36" s="22">
        <f>IFERROR(IF(SUM($D36:T36)=$J22,0,$J22/$C36),0)</f>
        <v>0</v>
      </c>
      <c r="V36" s="22">
        <f>IFERROR(IF(SUM($D36:U36)=$J22,0,$J22/$C36),0)</f>
        <v>0</v>
      </c>
      <c r="W36" s="22">
        <f>IFERROR(IF(SUM($D36:V36)=$J22,0,$J22/$C36),0)</f>
        <v>0</v>
      </c>
      <c r="X36" s="22">
        <f>IFERROR(IF(SUM($D36:W36)=$J22,0,$J22/$C36),0)</f>
        <v>0</v>
      </c>
    </row>
    <row r="37" spans="2:24" hidden="1" outlineLevel="1">
      <c r="B37" s="33">
        <f>K21</f>
        <v>2030</v>
      </c>
      <c r="C37" s="6">
        <f t="shared" si="7"/>
        <v>7</v>
      </c>
      <c r="D37" s="22"/>
      <c r="E37" s="22"/>
      <c r="F37" s="22"/>
      <c r="G37" s="22"/>
      <c r="H37" s="22"/>
      <c r="I37" s="22"/>
      <c r="J37" s="22"/>
      <c r="K37" s="22">
        <f>IFERROR(IF(K$22&gt;0,K$22/$C37,0),0)</f>
        <v>0.17585714285714288</v>
      </c>
      <c r="L37" s="22">
        <f>IFERROR(IF(SUM($D37:K37)=$K22,0,$K22/$C37),0)</f>
        <v>0.17585714285714288</v>
      </c>
      <c r="M37" s="22">
        <f>IFERROR(IF(SUM($D37:L37)=$K22,0,$K22/$C37),0)</f>
        <v>0.17585714285714288</v>
      </c>
      <c r="N37" s="22">
        <f>IFERROR(IF(SUM($D37:M37)=$K22,0,$K22/$C37),0)</f>
        <v>0.17585714285714288</v>
      </c>
      <c r="O37" s="22">
        <f>IFERROR(IF(SUM($D37:N37)=$K22,0,$K22/$C37),0)</f>
        <v>0.17585714285714288</v>
      </c>
      <c r="P37" s="22">
        <f>IFERROR(IF(SUM($D37:O37)=$K22,0,$K22/$C37),0)</f>
        <v>0.17585714285714288</v>
      </c>
      <c r="Q37" s="22">
        <f>IFERROR(IF(SUM($D37:P37)=$K22,0,$K22/$C37),0)</f>
        <v>0.17585714285714288</v>
      </c>
      <c r="R37" s="22">
        <f>IFERROR(IF(SUM($D37:Q37)=$K22,0,$K22/$C37),0)</f>
        <v>0</v>
      </c>
      <c r="S37" s="22">
        <f>IFERROR(IF(SUM($D37:R37)=$K22,0,$K22/$C37),0)</f>
        <v>0</v>
      </c>
      <c r="T37" s="22">
        <f>IFERROR(IF(SUM($D37:S37)=$K22,0,$K22/$C37),0)</f>
        <v>0</v>
      </c>
      <c r="U37" s="22">
        <f>IFERROR(IF(SUM($D37:T37)=$K22,0,$K22/$C37),0)</f>
        <v>0</v>
      </c>
      <c r="V37" s="22">
        <f>IFERROR(IF(SUM($D37:U37)=$K22,0,$K22/$C37),0)</f>
        <v>0</v>
      </c>
      <c r="W37" s="22">
        <f>IFERROR(IF(SUM($D37:V37)=$K22,0,$K22/$C37),0)</f>
        <v>0</v>
      </c>
      <c r="X37" s="22">
        <f>IFERROR(IF(SUM($D37:W37)=$K22,0,$K22/$C37),0)</f>
        <v>0</v>
      </c>
    </row>
    <row r="38" spans="2:24" hidden="1" outlineLevel="1">
      <c r="B38" s="33">
        <f>L21</f>
        <v>2031</v>
      </c>
      <c r="C38" s="6">
        <f t="shared" si="7"/>
        <v>7</v>
      </c>
      <c r="D38" s="22"/>
      <c r="E38" s="22"/>
      <c r="F38" s="22"/>
      <c r="G38" s="22"/>
      <c r="H38" s="22"/>
      <c r="I38" s="22"/>
      <c r="J38" s="22"/>
      <c r="K38" s="22"/>
      <c r="L38" s="22">
        <f>IFERROR(IF(L$22&gt;0,L$22/$C38,0),0)</f>
        <v>0</v>
      </c>
      <c r="M38" s="22">
        <f>IFERROR(IF(SUM($D38:L38)=$L22,0,$L22/$C38),0)</f>
        <v>0</v>
      </c>
      <c r="N38" s="22">
        <f>IFERROR(IF(SUM($D38:M38)=$L22,0,$L22/$C38),0)</f>
        <v>0</v>
      </c>
      <c r="O38" s="22">
        <f>IFERROR(IF(SUM($D38:N38)=$L22,0,$L22/$C38),0)</f>
        <v>0</v>
      </c>
      <c r="P38" s="22">
        <f>IFERROR(IF(SUM($D38:O38)=$L22,0,$L22/$C38),0)</f>
        <v>0</v>
      </c>
      <c r="Q38" s="22">
        <f>IFERROR(IF(SUM($D38:P38)=$L22,0,$L22/$C38),0)</f>
        <v>0</v>
      </c>
      <c r="R38" s="22">
        <f>IFERROR(IF(SUM($D38:Q38)=$L22,0,$L22/$C38),0)</f>
        <v>0</v>
      </c>
      <c r="S38" s="22">
        <f>IFERROR(IF(SUM($D38:R38)=$L22,0,$L22/$C38),0)</f>
        <v>0</v>
      </c>
      <c r="T38" s="22">
        <f>IFERROR(IF(SUM($D38:S38)=$L22,0,$L22/$C38),0)</f>
        <v>0</v>
      </c>
      <c r="U38" s="22">
        <f>IFERROR(IF(SUM($D38:T38)=$L22,0,$L22/$C38),0)</f>
        <v>0</v>
      </c>
      <c r="V38" s="22">
        <f>IFERROR(IF(SUM($D38:U38)=$L22,0,$L22/$C38),0)</f>
        <v>0</v>
      </c>
      <c r="W38" s="22">
        <f>IFERROR(IF(SUM($D38:V38)=$L22,0,$L22/$C38),0)</f>
        <v>0</v>
      </c>
      <c r="X38" s="22">
        <f>IFERROR(IF(SUM($D38:W38)=$L22,0,$L22/$C38),0)</f>
        <v>0</v>
      </c>
    </row>
    <row r="39" spans="2:24" hidden="1" outlineLevel="1">
      <c r="B39" s="33">
        <f>M21</f>
        <v>2032</v>
      </c>
      <c r="C39" s="6">
        <f t="shared" si="7"/>
        <v>7</v>
      </c>
      <c r="D39" s="22"/>
      <c r="E39" s="22"/>
      <c r="F39" s="22"/>
      <c r="G39" s="22"/>
      <c r="H39" s="22"/>
      <c r="I39" s="22"/>
      <c r="J39" s="22"/>
      <c r="K39" s="22"/>
      <c r="L39" s="22"/>
      <c r="M39" s="22">
        <f>IFERROR(IF(M$22&gt;0,M$22/$C39,0),0)</f>
        <v>0</v>
      </c>
      <c r="N39" s="22">
        <f>IFERROR(IF(SUM($D39:M39)=$M22,0,$M22/$C39),0)</f>
        <v>0</v>
      </c>
      <c r="O39" s="22">
        <f>IFERROR(IF(SUM($D39:N39)=$M22,0,$M22/$C39),0)</f>
        <v>0</v>
      </c>
      <c r="P39" s="22">
        <f>IFERROR(IF(SUM($D39:O39)=$M22,0,$M22/$C39),0)</f>
        <v>0</v>
      </c>
      <c r="Q39" s="22">
        <f>IFERROR(IF(SUM($D39:P39)=$M22,0,$M22/$C39),0)</f>
        <v>0</v>
      </c>
      <c r="R39" s="22">
        <f>IFERROR(IF(SUM($D39:Q39)=$M22,0,$M22/$C39),0)</f>
        <v>0</v>
      </c>
      <c r="S39" s="22">
        <f>IFERROR(IF(SUM($D39:R39)=$M22,0,$M22/$C39),0)</f>
        <v>0</v>
      </c>
      <c r="T39" s="22">
        <f>IFERROR(IF(SUM($D39:S39)=$M22,0,$M22/$C39),0)</f>
        <v>0</v>
      </c>
      <c r="U39" s="22">
        <f>IFERROR(IF(SUM($D39:T39)=$M22,0,$M22/$C39),0)</f>
        <v>0</v>
      </c>
      <c r="V39" s="22">
        <f>IFERROR(IF(SUM($D39:U39)=$M22,0,$M22/$C39),0)</f>
        <v>0</v>
      </c>
      <c r="W39" s="22">
        <f>IFERROR(IF(SUM($D39:V39)=$M22,0,$M22/$C39),0)</f>
        <v>0</v>
      </c>
      <c r="X39" s="22">
        <f>IFERROR(IF(SUM($D39:W39)=$M22,0,$M22/$C39),0)</f>
        <v>0</v>
      </c>
    </row>
    <row r="40" spans="2:24" hidden="1" outlineLevel="1">
      <c r="B40" s="33">
        <f>N21</f>
        <v>2033</v>
      </c>
      <c r="C40" s="6">
        <f t="shared" si="7"/>
        <v>7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>
        <f>IFERROR(IF(N$22&gt;0,N$22/$C40,0),0)</f>
        <v>0</v>
      </c>
      <c r="O40" s="22">
        <f>IFERROR(IF(SUM($D40:N40)=$N22,0,$N22/$C40),0)</f>
        <v>0</v>
      </c>
      <c r="P40" s="22">
        <f>IFERROR(IF(SUM($D40:O40)=$N22,0,$N22/$C40),0)</f>
        <v>0</v>
      </c>
      <c r="Q40" s="22">
        <f>IFERROR(IF(SUM($D40:P40)=$N22,0,$N22/$C40),0)</f>
        <v>0</v>
      </c>
      <c r="R40" s="22">
        <f>IFERROR(IF(SUM($D40:Q40)=$N22,0,$N22/$C40),0)</f>
        <v>0</v>
      </c>
      <c r="S40" s="22">
        <f>IFERROR(IF(SUM($D40:R40)=$N22,0,$N22/$C40),0)</f>
        <v>0</v>
      </c>
      <c r="T40" s="22">
        <f>IFERROR(IF(SUM($D40:S40)=$N22,0,$N22/$C40),0)</f>
        <v>0</v>
      </c>
      <c r="U40" s="22">
        <f>IFERROR(IF(SUM($D40:T40)=$N22,0,$N22/$C40),0)</f>
        <v>0</v>
      </c>
      <c r="V40" s="22">
        <f>IFERROR(IF(SUM($D40:U40)=$N22,0,$N22/$C40),0)</f>
        <v>0</v>
      </c>
      <c r="W40" s="22">
        <f>IFERROR(IF(SUM($D40:V40)=$N22,0,$N22/$C40),0)</f>
        <v>0</v>
      </c>
      <c r="X40" s="22">
        <f>IFERROR(IF(SUM($D40:W40)=$N22,0,$N22/$C40),0)</f>
        <v>0</v>
      </c>
    </row>
    <row r="41" spans="2:24" hidden="1" outlineLevel="1">
      <c r="B41" s="33">
        <f>O21</f>
        <v>2034</v>
      </c>
      <c r="C41" s="6">
        <f t="shared" si="7"/>
        <v>7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>
        <f>IFERROR(IF(O$22&gt;0,O$22/$C41,0),0)</f>
        <v>0</v>
      </c>
      <c r="P41" s="22">
        <f>IFERROR(IF(SUM($D41:O41)=$O22,0,$O22/$C41),0)</f>
        <v>0</v>
      </c>
      <c r="Q41" s="22">
        <f>IFERROR(IF(SUM($D41:P41)=$O22,0,$O22/$C41),0)</f>
        <v>0</v>
      </c>
      <c r="R41" s="22">
        <f>IFERROR(IF(SUM($D41:Q41)=$O22,0,$O22/$C41),0)</f>
        <v>0</v>
      </c>
      <c r="S41" s="22">
        <f>IFERROR(IF(SUM($D41:R41)=$O22,0,$O22/$C41),0)</f>
        <v>0</v>
      </c>
      <c r="T41" s="22">
        <f>IFERROR(IF(SUM($D41:S41)=$O22,0,$O22/$C41),0)</f>
        <v>0</v>
      </c>
      <c r="U41" s="22">
        <f>IFERROR(IF(SUM($D41:T41)=$O22,0,$O22/$C41),0)</f>
        <v>0</v>
      </c>
      <c r="V41" s="22">
        <f>IFERROR(IF(SUM($D41:U41)=$O22,0,$O22/$C41),0)</f>
        <v>0</v>
      </c>
      <c r="W41" s="22">
        <f>IFERROR(IF(SUM($D41:V41)=$O22,0,$O22/$C41),0)</f>
        <v>0</v>
      </c>
      <c r="X41" s="22">
        <f>IFERROR(IF(SUM($D41:W41)=$O22,0,$O22/$C41),0)</f>
        <v>0</v>
      </c>
    </row>
    <row r="42" spans="2:24" hidden="1" outlineLevel="1">
      <c r="B42" s="33">
        <f>P21</f>
        <v>2035</v>
      </c>
      <c r="C42" s="6">
        <f t="shared" si="7"/>
        <v>7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>
        <f>IFERROR(IF(P$22&gt;0,P$22/$C42,0),0)</f>
        <v>0</v>
      </c>
      <c r="Q42" s="22">
        <f>IFERROR(IF(SUM($D42:P42)=$P22,0,$P22/$C42),0)</f>
        <v>0</v>
      </c>
      <c r="R42" s="22">
        <f>IFERROR(IF(SUM($D42:Q42)=$P22,0,$P22/$C42),0)</f>
        <v>0</v>
      </c>
      <c r="S42" s="22">
        <f>IFERROR(IF(SUM($D42:R42)=$P22,0,$P22/$C42),0)</f>
        <v>0</v>
      </c>
      <c r="T42" s="22">
        <f>IFERROR(IF(SUM($D42:S42)=$P22,0,$P22/$C42),0)</f>
        <v>0</v>
      </c>
      <c r="U42" s="22">
        <f>IFERROR(IF(SUM($D42:T42)=$P22,0,$P22/$C42),0)</f>
        <v>0</v>
      </c>
      <c r="V42" s="22">
        <f>IFERROR(IF(SUM($D42:U42)=$P22,0,$P22/$C42),0)</f>
        <v>0</v>
      </c>
      <c r="W42" s="22">
        <f>IFERROR(IF(SUM($D42:V42)=$P22,0,$P22/$C42),0)</f>
        <v>0</v>
      </c>
      <c r="X42" s="22">
        <f>IFERROR(IF(SUM($D42:W42)=$P22,0,$P22/$C42),0)</f>
        <v>0</v>
      </c>
    </row>
    <row r="43" spans="2:24" hidden="1" outlineLevel="1">
      <c r="B43" s="33">
        <f>Q21</f>
        <v>2036</v>
      </c>
      <c r="C43" s="6">
        <f t="shared" si="7"/>
        <v>7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>
        <f>IFERROR(IF(Q$22&gt;0,Q$22/$C43,0),0)</f>
        <v>0</v>
      </c>
      <c r="R43" s="22">
        <f>IFERROR(IF(SUM($D43:Q43)=$Q22,0,$Q22/$C43),0)</f>
        <v>0</v>
      </c>
      <c r="S43" s="22">
        <f>IFERROR(IF(SUM($D43:R43)=$Q22,0,$Q22/$C43),0)</f>
        <v>0</v>
      </c>
      <c r="T43" s="22">
        <f>IFERROR(IF(SUM($D43:S43)=$Q22,0,$Q22/$C43),0)</f>
        <v>0</v>
      </c>
      <c r="U43" s="22">
        <f>IFERROR(IF(SUM($D43:T43)=$Q22,0,$Q22/$C43),0)</f>
        <v>0</v>
      </c>
      <c r="V43" s="22">
        <f>IFERROR(IF(SUM($D43:U43)=$Q22,0,$Q22/$C43),0)</f>
        <v>0</v>
      </c>
      <c r="W43" s="22">
        <f>IFERROR(IF(SUM($D43:V43)=$Q22,0,$Q22/$C43),0)</f>
        <v>0</v>
      </c>
      <c r="X43" s="22">
        <f>IFERROR(IF(SUM($D43:W43)=$Q22,0,$Q22/$C43),0)</f>
        <v>0</v>
      </c>
    </row>
    <row r="44" spans="2:24" hidden="1" outlineLevel="1">
      <c r="B44" s="33">
        <f>R21</f>
        <v>2037</v>
      </c>
      <c r="C44" s="6">
        <f t="shared" si="7"/>
        <v>7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>
        <f>IFERROR(IF(R$22&gt;0,R$22/$C44,0),0)</f>
        <v>0</v>
      </c>
      <c r="S44" s="22">
        <f>IFERROR(IF(SUM($D44:R44)=$R22,0,$R22/$C44),0)</f>
        <v>0</v>
      </c>
      <c r="T44" s="22">
        <f>IFERROR(IF(SUM($D44:S44)=$R22,0,$R22/$C44),0)</f>
        <v>0</v>
      </c>
      <c r="U44" s="22">
        <f>IFERROR(IF(SUM($D44:T44)=$R22,0,$R22/$C44),0)</f>
        <v>0</v>
      </c>
      <c r="V44" s="22">
        <f>IFERROR(IF(SUM($D44:U44)=$R22,0,$R22/$C44),0)</f>
        <v>0</v>
      </c>
      <c r="W44" s="22">
        <f>IFERROR(IF(SUM($D44:V44)=$R22,0,$R22/$C44),0)</f>
        <v>0</v>
      </c>
      <c r="X44" s="22">
        <f>IFERROR(IF(SUM($D44:W44)=$R22,0,$R22/$C44),0)</f>
        <v>0</v>
      </c>
    </row>
    <row r="45" spans="2:24" hidden="1" outlineLevel="1">
      <c r="B45" s="33">
        <f>S21</f>
        <v>2038</v>
      </c>
      <c r="C45" s="6">
        <f t="shared" si="7"/>
        <v>7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>
        <f>IFERROR(IF(S$22&gt;0,S$22/$C45,0),0)</f>
        <v>0</v>
      </c>
      <c r="T45" s="22">
        <f t="shared" ref="T45:X45" si="8">IFERROR(IF(T$22&gt;0,T$22/$C45,0),0)</f>
        <v>0</v>
      </c>
      <c r="U45" s="22">
        <f t="shared" si="8"/>
        <v>0</v>
      </c>
      <c r="V45" s="22">
        <f t="shared" si="8"/>
        <v>0</v>
      </c>
      <c r="W45" s="22">
        <f t="shared" si="8"/>
        <v>0</v>
      </c>
      <c r="X45" s="22">
        <f t="shared" si="8"/>
        <v>0</v>
      </c>
    </row>
    <row r="46" spans="2:24" hidden="1" outlineLevel="1">
      <c r="B46" s="33">
        <f>X21</f>
        <v>2043</v>
      </c>
      <c r="C46" s="6">
        <f t="shared" si="7"/>
        <v>7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spans="2:24" collapsed="1"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2:24">
      <c r="B48" s="1" t="s">
        <v>11</v>
      </c>
      <c r="C48" s="6">
        <v>20</v>
      </c>
      <c r="D48" s="20">
        <f>SUM(D49:D65)</f>
        <v>0</v>
      </c>
      <c r="E48" s="20">
        <f t="shared" ref="E48:S48" si="9">SUM(E49:E65)</f>
        <v>0</v>
      </c>
      <c r="F48" s="20">
        <f t="shared" si="9"/>
        <v>0</v>
      </c>
      <c r="G48" s="20">
        <f t="shared" si="9"/>
        <v>1.125E-2</v>
      </c>
      <c r="H48" s="20">
        <f t="shared" si="9"/>
        <v>2.5000000000000001E-2</v>
      </c>
      <c r="I48" s="20">
        <f t="shared" si="9"/>
        <v>2.5000000000000001E-2</v>
      </c>
      <c r="J48" s="20">
        <f t="shared" si="9"/>
        <v>2.5000000000000001E-2</v>
      </c>
      <c r="K48" s="20">
        <f t="shared" si="9"/>
        <v>2.5000000000000001E-2</v>
      </c>
      <c r="L48" s="20">
        <f t="shared" si="9"/>
        <v>2.5000000000000001E-2</v>
      </c>
      <c r="M48" s="20">
        <f t="shared" si="9"/>
        <v>2.5000000000000001E-2</v>
      </c>
      <c r="N48" s="20">
        <f t="shared" si="9"/>
        <v>2.5000000000000001E-2</v>
      </c>
      <c r="O48" s="20">
        <f t="shared" si="9"/>
        <v>2.5000000000000001E-2</v>
      </c>
      <c r="P48" s="20">
        <f t="shared" si="9"/>
        <v>2.5000000000000001E-2</v>
      </c>
      <c r="Q48" s="20">
        <f t="shared" si="9"/>
        <v>2.5000000000000001E-2</v>
      </c>
      <c r="R48" s="20">
        <f t="shared" si="9"/>
        <v>2.5000000000000001E-2</v>
      </c>
      <c r="S48" s="20">
        <f t="shared" si="9"/>
        <v>2.5000000000000001E-2</v>
      </c>
      <c r="T48" s="20">
        <f t="shared" ref="T48:X48" si="10">SUM(T49:T65)</f>
        <v>2.5000000000000001E-2</v>
      </c>
      <c r="U48" s="20">
        <f t="shared" si="10"/>
        <v>2.5000000000000001E-2</v>
      </c>
      <c r="V48" s="20">
        <f t="shared" si="10"/>
        <v>2.5000000000000001E-2</v>
      </c>
      <c r="W48" s="20">
        <f t="shared" si="10"/>
        <v>2.5000000000000001E-2</v>
      </c>
      <c r="X48" s="20">
        <f t="shared" si="10"/>
        <v>2.5000000000000001E-2</v>
      </c>
    </row>
    <row r="49" spans="2:24" hidden="1" outlineLevel="1">
      <c r="B49" s="33">
        <f>B30</f>
        <v>2023</v>
      </c>
      <c r="C49" s="6">
        <f t="shared" ref="C49:C65" si="11">$C$48</f>
        <v>20</v>
      </c>
      <c r="D49" s="22">
        <f>IFERROR(IF(D$23&gt;0,D$23/$C$49,0),0)</f>
        <v>0</v>
      </c>
      <c r="E49" s="22">
        <f>IFERROR(IF(SUM($D49:D49)=$D23,0,$D23/$C49),0)</f>
        <v>0</v>
      </c>
      <c r="F49" s="22">
        <f>IFERROR(IF(SUM($D49:E49)=$D23,0,$D23/$C49),0)</f>
        <v>0</v>
      </c>
      <c r="G49" s="22">
        <f>IFERROR(IF(SUM($D49:F49)=$D23,0,$D23/$C49),0)</f>
        <v>0</v>
      </c>
      <c r="H49" s="22">
        <f>IFERROR(IF(SUM($D49:G49)=$D23,0,$D23/$C49),0)</f>
        <v>0</v>
      </c>
      <c r="I49" s="22">
        <f>IFERROR(IF(SUM($D49:H49)=$D23,0,$D23/$C49),0)</f>
        <v>0</v>
      </c>
      <c r="J49" s="22">
        <f>IFERROR(IF(SUM($D49:I49)=$D23,0,$D23/$C49),0)</f>
        <v>0</v>
      </c>
      <c r="K49" s="22">
        <f>IFERROR(IF(SUM($D49:J49)=$D23,0,$D23/$C49),0)</f>
        <v>0</v>
      </c>
      <c r="L49" s="22">
        <f>IFERROR(IF(SUM($D49:K49)=$D23,0,$D23/$C49),0)</f>
        <v>0</v>
      </c>
      <c r="M49" s="22">
        <f>IFERROR(IF(SUM($D49:L49)=$D23,0,$D23/$C49),0)</f>
        <v>0</v>
      </c>
      <c r="N49" s="22">
        <f>IFERROR(IF(SUM($D49:M49)=$D23,0,$D23/$C49),0)</f>
        <v>0</v>
      </c>
      <c r="O49" s="22">
        <f>IFERROR(IF(SUM($D49:N49)=$D23,0,$D23/$C49),0)</f>
        <v>0</v>
      </c>
      <c r="P49" s="22">
        <f>IFERROR(IF(SUM($D49:O49)=$D23,0,$D23/$C49),0)</f>
        <v>0</v>
      </c>
      <c r="Q49" s="22">
        <f>IFERROR(IF(SUM($D49:P49)=$D23,0,$D23/$C49),0)</f>
        <v>0</v>
      </c>
      <c r="R49" s="22">
        <f>IFERROR(IF(SUM($D49:Q49)=$D23,0,$D23/$C49),0)</f>
        <v>0</v>
      </c>
      <c r="S49" s="22">
        <f>IFERROR(IF(SUM($D49:R49)=$D23,0,$D23/$C49),0)</f>
        <v>0</v>
      </c>
      <c r="T49" s="22">
        <f>IFERROR(IF(SUM($D49:S49)=$D23,0,$D23/$C49),0)</f>
        <v>0</v>
      </c>
      <c r="U49" s="22">
        <f>IFERROR(IF(SUM($D49:T49)=$D23,0,$D23/$C49),0)</f>
        <v>0</v>
      </c>
      <c r="V49" s="22">
        <f>IFERROR(IF(SUM($D49:U49)=$D23,0,$D23/$C49),0)</f>
        <v>0</v>
      </c>
      <c r="W49" s="22">
        <f>IFERROR(IF(SUM($D49:V49)=$D23,0,$D23/$C49),0)</f>
        <v>0</v>
      </c>
      <c r="X49" s="22">
        <f>IFERROR(IF(SUM($D49:W49)=$D23,0,$D23/$C49),0)</f>
        <v>0</v>
      </c>
    </row>
    <row r="50" spans="2:24" hidden="1" outlineLevel="1">
      <c r="B50" s="33">
        <f t="shared" ref="B50:B65" si="12">B31</f>
        <v>2024</v>
      </c>
      <c r="C50" s="6">
        <f t="shared" si="11"/>
        <v>20</v>
      </c>
      <c r="D50" s="22"/>
      <c r="E50" s="22">
        <f>IFERROR(IF(E$23&gt;0,E$23/$C$50,0),0)</f>
        <v>0</v>
      </c>
      <c r="F50" s="22">
        <f>IFERROR(IF(SUM($D50:E50)=$E23,0,$E23/$C50),0)</f>
        <v>0</v>
      </c>
      <c r="G50" s="22">
        <f>IFERROR(IF(SUM($D50:F50)=$E23,0,$E23/$C50),0)</f>
        <v>0</v>
      </c>
      <c r="H50" s="22">
        <f>IFERROR(IF(SUM($D50:G50)=$E23,0,$E23/$C50),0)</f>
        <v>0</v>
      </c>
      <c r="I50" s="22">
        <f>IFERROR(IF(SUM($D50:H50)=$E23,0,$E23/$C50),0)</f>
        <v>0</v>
      </c>
      <c r="J50" s="22">
        <f>IFERROR(IF(SUM($D50:I50)=$E23,0,$E23/$C50),0)</f>
        <v>0</v>
      </c>
      <c r="K50" s="22">
        <f>IFERROR(IF(SUM($D50:J50)=$E23,0,$E23/$C50),0)</f>
        <v>0</v>
      </c>
      <c r="L50" s="22">
        <f>IFERROR(IF(SUM($D50:K50)=$E23,0,$E23/$C50),0)</f>
        <v>0</v>
      </c>
      <c r="M50" s="22">
        <f>IFERROR(IF(SUM($D50:L50)=$E23,0,$E23/$C50),0)</f>
        <v>0</v>
      </c>
      <c r="N50" s="22">
        <f>IFERROR(IF(SUM($D50:M50)=$E23,0,$E23/$C50),0)</f>
        <v>0</v>
      </c>
      <c r="O50" s="22">
        <f>IFERROR(IF(SUM($D50:N50)=$E23,0,$E23/$C50),0)</f>
        <v>0</v>
      </c>
      <c r="P50" s="22">
        <f>IFERROR(IF(SUM($D50:O50)=$E23,0,$E23/$C50),0)</f>
        <v>0</v>
      </c>
      <c r="Q50" s="22">
        <f>IFERROR(IF(SUM($D50:P50)=$E23,0,$E23/$C50),0)</f>
        <v>0</v>
      </c>
      <c r="R50" s="22">
        <f>IFERROR(IF(SUM($D50:Q50)=$E23,0,$E23/$C50),0)</f>
        <v>0</v>
      </c>
      <c r="S50" s="22">
        <f>IFERROR(IF(SUM($D50:R50)=$E23,0,$E23/$C50),0)</f>
        <v>0</v>
      </c>
      <c r="T50" s="22">
        <f>IFERROR(IF(SUM($D50:S50)=$E23,0,$E23/$C50),0)</f>
        <v>0</v>
      </c>
      <c r="U50" s="22">
        <f>IFERROR(IF(SUM($D50:T50)=$E23,0,$E23/$C50),0)</f>
        <v>0</v>
      </c>
      <c r="V50" s="22">
        <f>IFERROR(IF(SUM($D50:U50)=$E23,0,$E23/$C50),0)</f>
        <v>0</v>
      </c>
      <c r="W50" s="22">
        <f>IFERROR(IF(SUM($D50:V50)=$E23,0,$E23/$C50),0)</f>
        <v>0</v>
      </c>
      <c r="X50" s="22">
        <f>IFERROR(IF(SUM($D50:W50)=$E23,0,$E23/$C50),0)</f>
        <v>0</v>
      </c>
    </row>
    <row r="51" spans="2:24" hidden="1" outlineLevel="1">
      <c r="B51" s="33">
        <f t="shared" si="12"/>
        <v>2025</v>
      </c>
      <c r="C51" s="6">
        <f t="shared" si="11"/>
        <v>20</v>
      </c>
      <c r="D51" s="22"/>
      <c r="E51" s="22"/>
      <c r="F51" s="22">
        <f>IFERROR(IF(F$23&gt;0,F$23/$C$51,0),0)</f>
        <v>0</v>
      </c>
      <c r="G51" s="22">
        <f>IFERROR(IF(SUM($D51:F51)=$F23,0,$F23/$C51),0)</f>
        <v>0</v>
      </c>
      <c r="H51" s="22">
        <f>IFERROR(IF(SUM($D51:G51)=$F23,0,$F23/$C51),0)</f>
        <v>0</v>
      </c>
      <c r="I51" s="22">
        <f>IFERROR(IF(SUM($D51:H51)=$F23,0,$F23/$C51),0)</f>
        <v>0</v>
      </c>
      <c r="J51" s="22">
        <f>IFERROR(IF(SUM($D51:I51)=$F23,0,$F23/$C51),0)</f>
        <v>0</v>
      </c>
      <c r="K51" s="22">
        <f>IFERROR(IF(SUM($D51:J51)=$F23,0,$F23/$C51),0)</f>
        <v>0</v>
      </c>
      <c r="L51" s="22">
        <f>IFERROR(IF(SUM($D51:K51)=$F23,0,$F23/$C51),0)</f>
        <v>0</v>
      </c>
      <c r="M51" s="22">
        <f>IFERROR(IF(SUM($D51:L51)=$F23,0,$F23/$C51),0)</f>
        <v>0</v>
      </c>
      <c r="N51" s="22">
        <f>IFERROR(IF(SUM($D51:M51)=$F23,0,$F23/$C51),0)</f>
        <v>0</v>
      </c>
      <c r="O51" s="22">
        <f>IFERROR(IF(SUM($D51:N51)=$F23,0,$F23/$C51),0)</f>
        <v>0</v>
      </c>
      <c r="P51" s="22">
        <f>IFERROR(IF(SUM($D51:O51)=$F23,0,$F23/$C51),0)</f>
        <v>0</v>
      </c>
      <c r="Q51" s="22">
        <f>IFERROR(IF(SUM($D51:P51)=$F23,0,$F23/$C51),0)</f>
        <v>0</v>
      </c>
      <c r="R51" s="22">
        <f>IFERROR(IF(SUM($D51:Q51)=$F23,0,$F23/$C51),0)</f>
        <v>0</v>
      </c>
      <c r="S51" s="22">
        <f>IFERROR(IF(SUM($D51:R51)=$F23,0,$F23/$C51),0)</f>
        <v>0</v>
      </c>
      <c r="T51" s="22">
        <f>IFERROR(IF(SUM($D51:S51)=$F23,0,$F23/$C51),0)</f>
        <v>0</v>
      </c>
      <c r="U51" s="22">
        <f>IFERROR(IF(SUM($D51:T51)=$F23,0,$F23/$C51),0)</f>
        <v>0</v>
      </c>
      <c r="V51" s="22">
        <f>IFERROR(IF(SUM($D51:U51)=$F23,0,$F23/$C51),0)</f>
        <v>0</v>
      </c>
      <c r="W51" s="22">
        <f>IFERROR(IF(SUM($D51:V51)=$F23,0,$F23/$C51),0)</f>
        <v>0</v>
      </c>
      <c r="X51" s="22">
        <f>IFERROR(IF(SUM($D51:W51)=$F23,0,$F23/$C51),0)</f>
        <v>0</v>
      </c>
    </row>
    <row r="52" spans="2:24" hidden="1" outlineLevel="1">
      <c r="B52" s="33">
        <f t="shared" si="12"/>
        <v>2026</v>
      </c>
      <c r="C52" s="6">
        <f t="shared" si="11"/>
        <v>20</v>
      </c>
      <c r="D52" s="22"/>
      <c r="E52" s="22"/>
      <c r="F52" s="22"/>
      <c r="G52" s="22">
        <f>IFERROR(IF(G$23&gt;0,G$23/$C$52,0),0)</f>
        <v>1.125E-2</v>
      </c>
      <c r="H52" s="22">
        <f>IFERROR(IF(SUM($D52:G52)=$G23,0,$G23/$C52),0)</f>
        <v>1.125E-2</v>
      </c>
      <c r="I52" s="22">
        <f>IFERROR(IF(SUM($D52:H52)=$G23,0,$G23/$C52),0)</f>
        <v>1.125E-2</v>
      </c>
      <c r="J52" s="22">
        <f>IFERROR(IF(SUM($D52:I52)=$G23,0,$G23/$C52),0)</f>
        <v>1.125E-2</v>
      </c>
      <c r="K52" s="22">
        <f>IFERROR(IF(SUM($D52:J52)=$G23,0,$G23/$C52),0)</f>
        <v>1.125E-2</v>
      </c>
      <c r="L52" s="22">
        <f>IFERROR(IF(SUM($D52:K52)=$G23,0,$G23/$C52),0)</f>
        <v>1.125E-2</v>
      </c>
      <c r="M52" s="22">
        <f>IFERROR(IF(SUM($D52:L52)=$G23,0,$G23/$C52),0)</f>
        <v>1.125E-2</v>
      </c>
      <c r="N52" s="22">
        <f>IFERROR(IF(SUM($D52:M52)=$G23,0,$G23/$C52),0)</f>
        <v>1.125E-2</v>
      </c>
      <c r="O52" s="22">
        <f>IFERROR(IF(SUM($D52:N52)=$G23,0,$G23/$C52),0)</f>
        <v>1.125E-2</v>
      </c>
      <c r="P52" s="22">
        <f>IFERROR(IF(SUM($D52:O52)=$G23,0,$G23/$C52),0)</f>
        <v>1.125E-2</v>
      </c>
      <c r="Q52" s="22">
        <f>IFERROR(IF(SUM($D52:P52)=$G23,0,$G23/$C52),0)</f>
        <v>1.125E-2</v>
      </c>
      <c r="R52" s="22">
        <f>IFERROR(IF(SUM($D52:Q52)=$G23,0,$G23/$C52),0)</f>
        <v>1.125E-2</v>
      </c>
      <c r="S52" s="22">
        <f>IFERROR(IF(SUM($D52:R52)=$G23,0,$G23/$C52),0)</f>
        <v>1.125E-2</v>
      </c>
      <c r="T52" s="22">
        <f>IFERROR(IF(SUM($D52:S52)=$G23,0,$G23/$C52),0)</f>
        <v>1.125E-2</v>
      </c>
      <c r="U52" s="22">
        <f>IFERROR(IF(SUM($D52:T52)=$G23,0,$G23/$C52),0)</f>
        <v>1.125E-2</v>
      </c>
      <c r="V52" s="22">
        <f>IFERROR(IF(SUM($D52:U52)=$G23,0,$G23/$C52),0)</f>
        <v>1.125E-2</v>
      </c>
      <c r="W52" s="22">
        <f>IFERROR(IF(SUM($D52:V52)=$G23,0,$G23/$C52),0)</f>
        <v>1.125E-2</v>
      </c>
      <c r="X52" s="22">
        <f>IFERROR(IF(SUM($D52:W52)=$G23,0,$G23/$C52),0)</f>
        <v>1.125E-2</v>
      </c>
    </row>
    <row r="53" spans="2:24" hidden="1" outlineLevel="1">
      <c r="B53" s="33">
        <f t="shared" si="12"/>
        <v>2027</v>
      </c>
      <c r="C53" s="6">
        <f t="shared" si="11"/>
        <v>20</v>
      </c>
      <c r="D53" s="22"/>
      <c r="E53" s="22"/>
      <c r="F53" s="22"/>
      <c r="G53" s="22"/>
      <c r="H53" s="22">
        <f>IFERROR(IF(H$23&gt;0,H$23/$C$53,0),0)</f>
        <v>1.3750000000000002E-2</v>
      </c>
      <c r="I53" s="22">
        <f>IFERROR(IF(SUM($D53:H53)=$H23,0,$H23/$C53),0)</f>
        <v>1.3750000000000002E-2</v>
      </c>
      <c r="J53" s="22">
        <f>IFERROR(IF(SUM($D53:I53)=$H23,0,$H23/$C53),0)</f>
        <v>1.3750000000000002E-2</v>
      </c>
      <c r="K53" s="22">
        <f>IFERROR(IF(SUM($D53:J53)=$H23,0,$H23/$C53),0)</f>
        <v>1.3750000000000002E-2</v>
      </c>
      <c r="L53" s="22">
        <f>IFERROR(IF(SUM($D53:K53)=$H23,0,$H23/$C53),0)</f>
        <v>1.3750000000000002E-2</v>
      </c>
      <c r="M53" s="22">
        <f>IFERROR(IF(SUM($D53:L53)=$H23,0,$H23/$C53),0)</f>
        <v>1.3750000000000002E-2</v>
      </c>
      <c r="N53" s="22">
        <f>IFERROR(IF(SUM($D53:M53)=$H23,0,$H23/$C53),0)</f>
        <v>1.3750000000000002E-2</v>
      </c>
      <c r="O53" s="22">
        <f>IFERROR(IF(SUM($D53:N53)=$H23,0,$H23/$C53),0)</f>
        <v>1.3750000000000002E-2</v>
      </c>
      <c r="P53" s="22">
        <f>IFERROR(IF(SUM($D53:O53)=$H23,0,$H23/$C53),0)</f>
        <v>1.3750000000000002E-2</v>
      </c>
      <c r="Q53" s="22">
        <f>IFERROR(IF(SUM($D53:P53)=$H23,0,$H23/$C53),0)</f>
        <v>1.3750000000000002E-2</v>
      </c>
      <c r="R53" s="22">
        <f>IFERROR(IF(SUM($D53:Q53)=$H23,0,$H23/$C53),0)</f>
        <v>1.3750000000000002E-2</v>
      </c>
      <c r="S53" s="22">
        <f>IFERROR(IF(SUM($D53:R53)=$H23,0,$H23/$C53),0)</f>
        <v>1.3750000000000002E-2</v>
      </c>
      <c r="T53" s="22">
        <f>IFERROR(IF(SUM($D53:S53)=$H23,0,$H23/$C53),0)</f>
        <v>1.3750000000000002E-2</v>
      </c>
      <c r="U53" s="22">
        <f>IFERROR(IF(SUM($D53:T53)=$H23,0,$H23/$C53),0)</f>
        <v>1.3750000000000002E-2</v>
      </c>
      <c r="V53" s="22">
        <f>IFERROR(IF(SUM($D53:U53)=$H23,0,$H23/$C53),0)</f>
        <v>1.3750000000000002E-2</v>
      </c>
      <c r="W53" s="22">
        <f>IFERROR(IF(SUM($D53:V53)=$H23,0,$H23/$C53),0)</f>
        <v>1.3750000000000002E-2</v>
      </c>
      <c r="X53" s="22">
        <f>IFERROR(IF(SUM($D53:W53)=$H23,0,$H23/$C53),0)</f>
        <v>1.3750000000000002E-2</v>
      </c>
    </row>
    <row r="54" spans="2:24" hidden="1" outlineLevel="1">
      <c r="B54" s="33">
        <f t="shared" si="12"/>
        <v>2028</v>
      </c>
      <c r="C54" s="6">
        <f t="shared" si="11"/>
        <v>20</v>
      </c>
      <c r="D54" s="22"/>
      <c r="E54" s="22"/>
      <c r="F54" s="22"/>
      <c r="G54" s="22"/>
      <c r="H54" s="22"/>
      <c r="I54" s="22">
        <f>IFERROR(IF(I$23&gt;0,I$23/$C$54,0),0)</f>
        <v>0</v>
      </c>
      <c r="J54" s="22">
        <f>IFERROR(IF(SUM($D54:I54)=$I23,0,$I23/$C54),0)</f>
        <v>0</v>
      </c>
      <c r="K54" s="22">
        <f>IFERROR(IF(SUM($D54:J54)=$I23,0,$I23/$C54),0)</f>
        <v>0</v>
      </c>
      <c r="L54" s="22">
        <f>IFERROR(IF(SUM($D54:K54)=$I23,0,$I23/$C54),0)</f>
        <v>0</v>
      </c>
      <c r="M54" s="22">
        <f>IFERROR(IF(SUM($D54:L54)=$I23,0,$I23/$C54),0)</f>
        <v>0</v>
      </c>
      <c r="N54" s="22">
        <f>IFERROR(IF(SUM($D54:M54)=$I23,0,$I23/$C54),0)</f>
        <v>0</v>
      </c>
      <c r="O54" s="22">
        <f>IFERROR(IF(SUM($D54:N54)=$I23,0,$I23/$C54),0)</f>
        <v>0</v>
      </c>
      <c r="P54" s="22">
        <f>IFERROR(IF(SUM($D54:O54)=$I23,0,$I23/$C54),0)</f>
        <v>0</v>
      </c>
      <c r="Q54" s="22">
        <f>IFERROR(IF(SUM($D54:P54)=$I23,0,$I23/$C54),0)</f>
        <v>0</v>
      </c>
      <c r="R54" s="22">
        <f>IFERROR(IF(SUM($D54:Q54)=$I23,0,$I23/$C54),0)</f>
        <v>0</v>
      </c>
      <c r="S54" s="22">
        <f>IFERROR(IF(SUM($D54:R54)=$I23,0,$I23/$C54),0)</f>
        <v>0</v>
      </c>
      <c r="T54" s="22">
        <f>IFERROR(IF(SUM($D54:S54)=$I23,0,$I23/$C54),0)</f>
        <v>0</v>
      </c>
      <c r="U54" s="22">
        <f>IFERROR(IF(SUM($D54:T54)=$I23,0,$I23/$C54),0)</f>
        <v>0</v>
      </c>
      <c r="V54" s="22">
        <f>IFERROR(IF(SUM($D54:U54)=$I23,0,$I23/$C54),0)</f>
        <v>0</v>
      </c>
      <c r="W54" s="22">
        <f>IFERROR(IF(SUM($D54:V54)=$I23,0,$I23/$C54),0)</f>
        <v>0</v>
      </c>
      <c r="X54" s="22">
        <f>IFERROR(IF(SUM($D54:W54)=$I23,0,$I23/$C54),0)</f>
        <v>0</v>
      </c>
    </row>
    <row r="55" spans="2:24" hidden="1" outlineLevel="1">
      <c r="B55" s="33">
        <f t="shared" si="12"/>
        <v>2029</v>
      </c>
      <c r="C55" s="6">
        <f t="shared" si="11"/>
        <v>20</v>
      </c>
      <c r="D55" s="22"/>
      <c r="E55" s="22"/>
      <c r="F55" s="22"/>
      <c r="G55" s="22"/>
      <c r="H55" s="22"/>
      <c r="I55" s="22"/>
      <c r="J55" s="22">
        <f>IFERROR(IF(J$23&gt;0,J$23/$C$55,0),0)</f>
        <v>0</v>
      </c>
      <c r="K55" s="22">
        <f>IFERROR(IF(SUM($D55:J55)=$J23,0,$J23/$C55),0)</f>
        <v>0</v>
      </c>
      <c r="L55" s="22">
        <f>IFERROR(IF(SUM($D55:K55)=$J23,0,$J23/$C55),0)</f>
        <v>0</v>
      </c>
      <c r="M55" s="22">
        <f>IFERROR(IF(SUM($D55:L55)=$J23,0,$J23/$C55),0)</f>
        <v>0</v>
      </c>
      <c r="N55" s="22">
        <f>IFERROR(IF(SUM($D55:M55)=$J23,0,$J23/$C55),0)</f>
        <v>0</v>
      </c>
      <c r="O55" s="22">
        <f>IFERROR(IF(SUM($D55:N55)=$J23,0,$J23/$C55),0)</f>
        <v>0</v>
      </c>
      <c r="P55" s="22">
        <f>IFERROR(IF(SUM($D55:O55)=$J23,0,$J23/$C55),0)</f>
        <v>0</v>
      </c>
      <c r="Q55" s="22">
        <f>IFERROR(IF(SUM($D55:P55)=$J23,0,$J23/$C55),0)</f>
        <v>0</v>
      </c>
      <c r="R55" s="22">
        <f>IFERROR(IF(SUM($D55:Q55)=$J23,0,$J23/$C55),0)</f>
        <v>0</v>
      </c>
      <c r="S55" s="22">
        <f>IFERROR(IF(SUM($D55:R55)=$J23,0,$J23/$C55),0)</f>
        <v>0</v>
      </c>
      <c r="T55" s="22">
        <f>IFERROR(IF(SUM($D55:S55)=$J23,0,$J23/$C55),0)</f>
        <v>0</v>
      </c>
      <c r="U55" s="22">
        <f>IFERROR(IF(SUM($D55:T55)=$J23,0,$J23/$C55),0)</f>
        <v>0</v>
      </c>
      <c r="V55" s="22">
        <f>IFERROR(IF(SUM($D55:U55)=$J23,0,$J23/$C55),0)</f>
        <v>0</v>
      </c>
      <c r="W55" s="22">
        <f>IFERROR(IF(SUM($D55:V55)=$J23,0,$J23/$C55),0)</f>
        <v>0</v>
      </c>
      <c r="X55" s="22">
        <f>IFERROR(IF(SUM($D55:W55)=$J23,0,$J23/$C55),0)</f>
        <v>0</v>
      </c>
    </row>
    <row r="56" spans="2:24" hidden="1" outlineLevel="1">
      <c r="B56" s="33">
        <f t="shared" si="12"/>
        <v>2030</v>
      </c>
      <c r="C56" s="6">
        <f t="shared" si="11"/>
        <v>20</v>
      </c>
      <c r="D56" s="22"/>
      <c r="E56" s="22"/>
      <c r="F56" s="22"/>
      <c r="G56" s="22"/>
      <c r="H56" s="22"/>
      <c r="I56" s="22"/>
      <c r="J56" s="22"/>
      <c r="K56" s="22">
        <f>IFERROR(IF(K$23&gt;0,K$23/$C$56,0),0)</f>
        <v>0</v>
      </c>
      <c r="L56" s="22">
        <f>IFERROR(IF(SUM($D56:K56)=$K23,0,$K23/$C56),0)</f>
        <v>0</v>
      </c>
      <c r="M56" s="22">
        <f>IFERROR(IF(SUM($D56:L56)=$K23,0,$K23/$C56),0)</f>
        <v>0</v>
      </c>
      <c r="N56" s="22">
        <f>IFERROR(IF(SUM($D56:M56)=$K23,0,$K23/$C56),0)</f>
        <v>0</v>
      </c>
      <c r="O56" s="22">
        <f>IFERROR(IF(SUM($D56:N56)=$K23,0,$K23/$C56),0)</f>
        <v>0</v>
      </c>
      <c r="P56" s="22">
        <f>IFERROR(IF(SUM($D56:O56)=$K23,0,$K23/$C56),0)</f>
        <v>0</v>
      </c>
      <c r="Q56" s="22">
        <f>IFERROR(IF(SUM($D56:P56)=$K23,0,$K23/$C56),0)</f>
        <v>0</v>
      </c>
      <c r="R56" s="22">
        <f>IFERROR(IF(SUM($D56:Q56)=$K23,0,$K23/$C56),0)</f>
        <v>0</v>
      </c>
      <c r="S56" s="22">
        <f>IFERROR(IF(SUM($D56:R56)=$K23,0,$K23/$C56),0)</f>
        <v>0</v>
      </c>
      <c r="T56" s="22">
        <f>IFERROR(IF(SUM($D56:S56)=$K23,0,$K23/$C56),0)</f>
        <v>0</v>
      </c>
      <c r="U56" s="22">
        <f>IFERROR(IF(SUM($D56:T56)=$K23,0,$K23/$C56),0)</f>
        <v>0</v>
      </c>
      <c r="V56" s="22">
        <f>IFERROR(IF(SUM($D56:U56)=$K23,0,$K23/$C56),0)</f>
        <v>0</v>
      </c>
      <c r="W56" s="22">
        <f>IFERROR(IF(SUM($D56:V56)=$K23,0,$K23/$C56),0)</f>
        <v>0</v>
      </c>
      <c r="X56" s="22">
        <f>IFERROR(IF(SUM($D56:W56)=$K23,0,$K23/$C56),0)</f>
        <v>0</v>
      </c>
    </row>
    <row r="57" spans="2:24" hidden="1" outlineLevel="1">
      <c r="B57" s="33">
        <f t="shared" si="12"/>
        <v>2031</v>
      </c>
      <c r="C57" s="6">
        <f t="shared" si="11"/>
        <v>20</v>
      </c>
      <c r="D57" s="22"/>
      <c r="E57" s="22"/>
      <c r="F57" s="22"/>
      <c r="G57" s="22"/>
      <c r="H57" s="22"/>
      <c r="I57" s="22"/>
      <c r="J57" s="22"/>
      <c r="K57" s="22"/>
      <c r="L57" s="22">
        <f>IFERROR(IF(L$23&gt;0,L$23/$C$57,0),0)</f>
        <v>0</v>
      </c>
      <c r="M57" s="22">
        <f>IFERROR(IF(SUM($D57:L57)=$L23,0,$L23/$C57),0)</f>
        <v>0</v>
      </c>
      <c r="N57" s="22">
        <f>IFERROR(IF(SUM($D57:M57)=$L23,0,$L23/$C57),0)</f>
        <v>0</v>
      </c>
      <c r="O57" s="22">
        <f>IFERROR(IF(SUM($D57:N57)=$L23,0,$L23/$C57),0)</f>
        <v>0</v>
      </c>
      <c r="P57" s="22">
        <f>IFERROR(IF(SUM($D57:O57)=$L23,0,$L23/$C57),0)</f>
        <v>0</v>
      </c>
      <c r="Q57" s="22">
        <f>IFERROR(IF(SUM($D57:P57)=$L23,0,$L23/$C57),0)</f>
        <v>0</v>
      </c>
      <c r="R57" s="22">
        <f>IFERROR(IF(SUM($D57:Q57)=$L23,0,$L23/$C57),0)</f>
        <v>0</v>
      </c>
      <c r="S57" s="22">
        <f>IFERROR(IF(SUM($D57:R57)=$L23,0,$L23/$C57),0)</f>
        <v>0</v>
      </c>
      <c r="T57" s="22">
        <f>IFERROR(IF(SUM($D57:S57)=$L23,0,$L23/$C57),0)</f>
        <v>0</v>
      </c>
      <c r="U57" s="22">
        <f>IFERROR(IF(SUM($D57:T57)=$L23,0,$L23/$C57),0)</f>
        <v>0</v>
      </c>
      <c r="V57" s="22">
        <f>IFERROR(IF(SUM($D57:U57)=$L23,0,$L23/$C57),0)</f>
        <v>0</v>
      </c>
      <c r="W57" s="22">
        <f>IFERROR(IF(SUM($D57:V57)=$L23,0,$L23/$C57),0)</f>
        <v>0</v>
      </c>
      <c r="X57" s="22">
        <f>IFERROR(IF(SUM($D57:W57)=$L23,0,$L23/$C57),0)</f>
        <v>0</v>
      </c>
    </row>
    <row r="58" spans="2:24" hidden="1" outlineLevel="1">
      <c r="B58" s="33">
        <f t="shared" si="12"/>
        <v>2032</v>
      </c>
      <c r="C58" s="6">
        <f t="shared" si="11"/>
        <v>20</v>
      </c>
      <c r="D58" s="22"/>
      <c r="E58" s="22"/>
      <c r="F58" s="22"/>
      <c r="G58" s="22"/>
      <c r="H58" s="22"/>
      <c r="I58" s="22"/>
      <c r="J58" s="22"/>
      <c r="K58" s="22"/>
      <c r="L58" s="22"/>
      <c r="M58" s="22">
        <f>IFERROR(IF(M$23&gt;0,M$23/$C$58,0),0)</f>
        <v>0</v>
      </c>
      <c r="N58" s="22">
        <f>IFERROR(IF(SUM($D58:M58)=$M23,0,$M23/$C58),0)</f>
        <v>0</v>
      </c>
      <c r="O58" s="22">
        <f>IFERROR(IF(SUM($D58:N58)=$M23,0,$M23/$C58),0)</f>
        <v>0</v>
      </c>
      <c r="P58" s="22">
        <f>IFERROR(IF(SUM($D58:O58)=$M23,0,$M23/$C58),0)</f>
        <v>0</v>
      </c>
      <c r="Q58" s="22">
        <f>IFERROR(IF(SUM($D58:P58)=$M23,0,$M23/$C58),0)</f>
        <v>0</v>
      </c>
      <c r="R58" s="22">
        <f>IFERROR(IF(SUM($D58:Q58)=$M23,0,$M23/$C58),0)</f>
        <v>0</v>
      </c>
      <c r="S58" s="22">
        <f>IFERROR(IF(SUM($D58:R58)=$M23,0,$M23/$C58),0)</f>
        <v>0</v>
      </c>
      <c r="T58" s="22">
        <f>IFERROR(IF(SUM($D58:S58)=$M23,0,$M23/$C58),0)</f>
        <v>0</v>
      </c>
      <c r="U58" s="22">
        <f>IFERROR(IF(SUM($D58:T58)=$M23,0,$M23/$C58),0)</f>
        <v>0</v>
      </c>
      <c r="V58" s="22">
        <f>IFERROR(IF(SUM($D58:U58)=$M23,0,$M23/$C58),0)</f>
        <v>0</v>
      </c>
      <c r="W58" s="22">
        <f>IFERROR(IF(SUM($D58:V58)=$M23,0,$M23/$C58),0)</f>
        <v>0</v>
      </c>
      <c r="X58" s="22">
        <f>IFERROR(IF(SUM($D58:W58)=$M23,0,$M23/$C58),0)</f>
        <v>0</v>
      </c>
    </row>
    <row r="59" spans="2:24" hidden="1" outlineLevel="1">
      <c r="B59" s="33">
        <f t="shared" si="12"/>
        <v>2033</v>
      </c>
      <c r="C59" s="6">
        <f t="shared" si="11"/>
        <v>20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>
        <f>IFERROR(IF(N$23&gt;0,N$23/$C$59,0),0)</f>
        <v>0</v>
      </c>
      <c r="O59" s="22">
        <f>IFERROR(IF(SUM($D59:N59)=$N23,0,$N23/$C59),0)</f>
        <v>0</v>
      </c>
      <c r="P59" s="22">
        <f>IFERROR(IF(SUM($D59:O59)=$N23,0,$N23/$C59),0)</f>
        <v>0</v>
      </c>
      <c r="Q59" s="22">
        <f>IFERROR(IF(SUM($D59:P59)=$N23,0,$N23/$C59),0)</f>
        <v>0</v>
      </c>
      <c r="R59" s="22">
        <f>IFERROR(IF(SUM($D59:Q59)=$N23,0,$N23/$C59),0)</f>
        <v>0</v>
      </c>
      <c r="S59" s="22">
        <f>IFERROR(IF(SUM($D59:R59)=$N23,0,$N23/$C59),0)</f>
        <v>0</v>
      </c>
      <c r="T59" s="22">
        <f>IFERROR(IF(SUM($D59:S59)=$N23,0,$N23/$C59),0)</f>
        <v>0</v>
      </c>
      <c r="U59" s="22">
        <f>IFERROR(IF(SUM($D59:T59)=$N23,0,$N23/$C59),0)</f>
        <v>0</v>
      </c>
      <c r="V59" s="22">
        <f>IFERROR(IF(SUM($D59:U59)=$N23,0,$N23/$C59),0)</f>
        <v>0</v>
      </c>
      <c r="W59" s="22">
        <f>IFERROR(IF(SUM($D59:V59)=$N23,0,$N23/$C59),0)</f>
        <v>0</v>
      </c>
      <c r="X59" s="22">
        <f>IFERROR(IF(SUM($D59:W59)=$N23,0,$N23/$C59),0)</f>
        <v>0</v>
      </c>
    </row>
    <row r="60" spans="2:24" hidden="1" outlineLevel="1">
      <c r="B60" s="33">
        <f t="shared" si="12"/>
        <v>2034</v>
      </c>
      <c r="C60" s="6">
        <f t="shared" si="11"/>
        <v>20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>
        <f>IFERROR(IF(O$23&gt;0,O$23/$C$60,0),0)</f>
        <v>0</v>
      </c>
      <c r="P60" s="22">
        <f>IFERROR(IF(SUM($D60:O60)=$O23,0,$O23/$C60),0)</f>
        <v>0</v>
      </c>
      <c r="Q60" s="22">
        <f>IFERROR(IF(SUM($D60:P60)=$O23,0,$O23/$C60),0)</f>
        <v>0</v>
      </c>
      <c r="R60" s="22">
        <f>IFERROR(IF(SUM($D60:Q60)=$O23,0,$O23/$C60),0)</f>
        <v>0</v>
      </c>
      <c r="S60" s="22">
        <f>IFERROR(IF(SUM($D60:R60)=$O23,0,$O23/$C60),0)</f>
        <v>0</v>
      </c>
      <c r="T60" s="22">
        <f>IFERROR(IF(SUM($D60:S60)=$O23,0,$O23/$C60),0)</f>
        <v>0</v>
      </c>
      <c r="U60" s="22">
        <f>IFERROR(IF(SUM($D60:T60)=$O23,0,$O23/$C60),0)</f>
        <v>0</v>
      </c>
      <c r="V60" s="22">
        <f>IFERROR(IF(SUM($D60:U60)=$O23,0,$O23/$C60),0)</f>
        <v>0</v>
      </c>
      <c r="W60" s="22">
        <f>IFERROR(IF(SUM($D60:V60)=$O23,0,$O23/$C60),0)</f>
        <v>0</v>
      </c>
      <c r="X60" s="22">
        <f>IFERROR(IF(SUM($D60:W60)=$O23,0,$O23/$C60),0)</f>
        <v>0</v>
      </c>
    </row>
    <row r="61" spans="2:24" hidden="1" outlineLevel="1">
      <c r="B61" s="33">
        <f t="shared" si="12"/>
        <v>2035</v>
      </c>
      <c r="C61" s="6">
        <f t="shared" si="11"/>
        <v>20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>
        <f>IFERROR(IF(P$23&gt;0,P$23/$C$61,0),0)</f>
        <v>0</v>
      </c>
      <c r="Q61" s="22">
        <f>IFERROR(IF(SUM($D61:P61)=$P23,0,$P23/$C61),0)</f>
        <v>0</v>
      </c>
      <c r="R61" s="22">
        <f>IFERROR(IF(SUM($D61:Q61)=$P23,0,$P23/$C61),0)</f>
        <v>0</v>
      </c>
      <c r="S61" s="22">
        <f>IFERROR(IF(SUM($D61:R61)=$P23,0,$P23/$C61),0)</f>
        <v>0</v>
      </c>
      <c r="T61" s="22">
        <f>IFERROR(IF(SUM($D61:S61)=$P23,0,$P23/$C61),0)</f>
        <v>0</v>
      </c>
      <c r="U61" s="22">
        <f>IFERROR(IF(SUM($D61:T61)=$P23,0,$P23/$C61),0)</f>
        <v>0</v>
      </c>
      <c r="V61" s="22">
        <f>IFERROR(IF(SUM($D61:U61)=$P23,0,$P23/$C61),0)</f>
        <v>0</v>
      </c>
      <c r="W61" s="22">
        <f>IFERROR(IF(SUM($D61:V61)=$P23,0,$P23/$C61),0)</f>
        <v>0</v>
      </c>
      <c r="X61" s="22">
        <f>IFERROR(IF(SUM($D61:W61)=$P23,0,$P23/$C61),0)</f>
        <v>0</v>
      </c>
    </row>
    <row r="62" spans="2:24" hidden="1" outlineLevel="1">
      <c r="B62" s="33">
        <f t="shared" si="12"/>
        <v>2036</v>
      </c>
      <c r="C62" s="6">
        <f t="shared" si="11"/>
        <v>20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>
        <f>IFERROR(IF(Q$23&gt;0,Q$23/$C$62,0),0)</f>
        <v>0</v>
      </c>
      <c r="R62" s="22">
        <f>IFERROR(IF(SUM($D62:Q62)=$Q23,0,$Q23/$C62),0)</f>
        <v>0</v>
      </c>
      <c r="S62" s="22">
        <f>IFERROR(IF(SUM($D62:R62)=$Q23,0,$Q23/$C62),0)</f>
        <v>0</v>
      </c>
      <c r="T62" s="22">
        <f>IFERROR(IF(SUM($D62:S62)=$Q23,0,$Q23/$C62),0)</f>
        <v>0</v>
      </c>
      <c r="U62" s="22">
        <f>IFERROR(IF(SUM($D62:T62)=$Q23,0,$Q23/$C62),0)</f>
        <v>0</v>
      </c>
      <c r="V62" s="22">
        <f>IFERROR(IF(SUM($D62:U62)=$Q23,0,$Q23/$C62),0)</f>
        <v>0</v>
      </c>
      <c r="W62" s="22">
        <f>IFERROR(IF(SUM($D62:V62)=$Q23,0,$Q23/$C62),0)</f>
        <v>0</v>
      </c>
      <c r="X62" s="22">
        <f>IFERROR(IF(SUM($D62:W62)=$Q23,0,$Q23/$C62),0)</f>
        <v>0</v>
      </c>
    </row>
    <row r="63" spans="2:24" hidden="1" outlineLevel="1">
      <c r="B63" s="33">
        <f t="shared" si="12"/>
        <v>2037</v>
      </c>
      <c r="C63" s="6">
        <f t="shared" si="11"/>
        <v>20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>
        <f>IFERROR(IF(R$23&gt;0,R$23/$C$63,0),0)</f>
        <v>0</v>
      </c>
      <c r="S63" s="22">
        <f>IFERROR(IF(SUM($D63:R63)=$R23,0,$R23/$C63),0)</f>
        <v>0</v>
      </c>
      <c r="T63" s="22">
        <f>IFERROR(IF(SUM($D63:S63)=$R23,0,$R23/$C63),0)</f>
        <v>0</v>
      </c>
      <c r="U63" s="22">
        <f>IFERROR(IF(SUM($D63:T63)=$R23,0,$R23/$C63),0)</f>
        <v>0</v>
      </c>
      <c r="V63" s="22">
        <f>IFERROR(IF(SUM($D63:U63)=$R23,0,$R23/$C63),0)</f>
        <v>0</v>
      </c>
      <c r="W63" s="22">
        <f>IFERROR(IF(SUM($D63:V63)=$R23,0,$R23/$C63),0)</f>
        <v>0</v>
      </c>
      <c r="X63" s="22">
        <f>IFERROR(IF(SUM($D63:W63)=$R23,0,$R23/$C63),0)</f>
        <v>0</v>
      </c>
    </row>
    <row r="64" spans="2:24" hidden="1" outlineLevel="1">
      <c r="B64" s="33">
        <f t="shared" si="12"/>
        <v>2038</v>
      </c>
      <c r="C64" s="6">
        <f t="shared" si="11"/>
        <v>20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>
        <f>IFERROR(IF(S$23&gt;0,S$23/$C$64,0),0)</f>
        <v>0</v>
      </c>
      <c r="T64" s="22">
        <f t="shared" ref="T64:X64" si="13">IFERROR(IF(T$23&gt;0,T$23/$C$64,0),0)</f>
        <v>0</v>
      </c>
      <c r="U64" s="22">
        <f t="shared" si="13"/>
        <v>0</v>
      </c>
      <c r="V64" s="22">
        <f t="shared" si="13"/>
        <v>0</v>
      </c>
      <c r="W64" s="22">
        <f t="shared" si="13"/>
        <v>0</v>
      </c>
      <c r="X64" s="22">
        <f t="shared" si="13"/>
        <v>0</v>
      </c>
    </row>
    <row r="65" spans="2:25" hidden="1" outlineLevel="1">
      <c r="B65" s="33">
        <f t="shared" si="12"/>
        <v>2043</v>
      </c>
      <c r="C65" s="6">
        <f t="shared" si="11"/>
        <v>20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</row>
    <row r="66" spans="2:25" collapsed="1"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</row>
    <row r="67" spans="2:25"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</row>
    <row r="68" spans="2:25" ht="15">
      <c r="B68" s="30" t="s">
        <v>75</v>
      </c>
      <c r="C68" s="3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2:25" ht="6.75" customHeight="1"/>
    <row r="70" spans="2:25">
      <c r="B70" s="27"/>
      <c r="C70" s="27"/>
      <c r="D70" s="3">
        <f>D$21</f>
        <v>2023</v>
      </c>
      <c r="E70" s="3">
        <f>E$21</f>
        <v>2024</v>
      </c>
      <c r="F70" s="3">
        <f t="shared" ref="F70:X70" si="14">F$21</f>
        <v>2025</v>
      </c>
      <c r="G70" s="3">
        <f t="shared" si="14"/>
        <v>2026</v>
      </c>
      <c r="H70" s="3">
        <f t="shared" si="14"/>
        <v>2027</v>
      </c>
      <c r="I70" s="3">
        <f t="shared" si="14"/>
        <v>2028</v>
      </c>
      <c r="J70" s="3">
        <f t="shared" si="14"/>
        <v>2029</v>
      </c>
      <c r="K70" s="3">
        <f t="shared" si="14"/>
        <v>2030</v>
      </c>
      <c r="L70" s="3">
        <f t="shared" si="14"/>
        <v>2031</v>
      </c>
      <c r="M70" s="3">
        <f t="shared" si="14"/>
        <v>2032</v>
      </c>
      <c r="N70" s="3">
        <f t="shared" si="14"/>
        <v>2033</v>
      </c>
      <c r="O70" s="3">
        <f t="shared" si="14"/>
        <v>2034</v>
      </c>
      <c r="P70" s="3">
        <f t="shared" si="14"/>
        <v>2035</v>
      </c>
      <c r="Q70" s="3">
        <f t="shared" si="14"/>
        <v>2036</v>
      </c>
      <c r="R70" s="3">
        <f t="shared" si="14"/>
        <v>2037</v>
      </c>
      <c r="S70" s="3">
        <f t="shared" si="14"/>
        <v>2038</v>
      </c>
      <c r="T70" s="3">
        <f t="shared" si="14"/>
        <v>2039</v>
      </c>
      <c r="U70" s="3">
        <f t="shared" si="14"/>
        <v>2040</v>
      </c>
      <c r="V70" s="3">
        <f t="shared" si="14"/>
        <v>2041</v>
      </c>
      <c r="W70" s="3">
        <f t="shared" si="14"/>
        <v>2042</v>
      </c>
      <c r="X70" s="3">
        <f t="shared" si="14"/>
        <v>2043</v>
      </c>
      <c r="Y70" s="3"/>
    </row>
    <row r="71" spans="2:25">
      <c r="B71" s="4" t="s">
        <v>3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pans="2:25">
      <c r="B72" s="4" t="s">
        <v>6</v>
      </c>
      <c r="D72" s="18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2:25">
      <c r="B73" s="4" t="s">
        <v>5</v>
      </c>
      <c r="D73" s="18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</row>
    <row r="74" spans="2:25">
      <c r="B74" s="4" t="s">
        <v>7</v>
      </c>
      <c r="D74" s="18"/>
      <c r="E74" s="18">
        <v>0.50586124457000003</v>
      </c>
      <c r="F74" s="18">
        <v>0.90551340000000002</v>
      </c>
      <c r="G74" s="18">
        <v>1.1955552400000002</v>
      </c>
      <c r="H74" s="18">
        <v>1.7104142</v>
      </c>
      <c r="I74" s="77">
        <v>2.0899145190000001</v>
      </c>
      <c r="J74" s="77">
        <v>2.3936092980030006</v>
      </c>
      <c r="K74" s="77">
        <v>2.7115544110582634</v>
      </c>
      <c r="L74" s="77">
        <v>3.0184608330614062</v>
      </c>
      <c r="M74" s="77">
        <v>3.3502182146415902</v>
      </c>
      <c r="N74" s="77">
        <v>3.6679303888102806</v>
      </c>
      <c r="O74" s="77">
        <v>3.9828737055045624</v>
      </c>
      <c r="P74" s="18">
        <v>4.3255311740073985</v>
      </c>
      <c r="Q74" s="18">
        <v>4.6408960939514667</v>
      </c>
      <c r="R74" s="18">
        <v>4.9797913709546142</v>
      </c>
      <c r="S74" s="18">
        <v>5.3325326295843851</v>
      </c>
      <c r="T74" s="18">
        <v>5.691723386630577</v>
      </c>
      <c r="U74" s="18">
        <v>6.0318526752605228</v>
      </c>
      <c r="V74" s="18">
        <v>6.372737589558648</v>
      </c>
      <c r="W74" s="18">
        <v>6.7186675793397397</v>
      </c>
      <c r="X74" s="18">
        <v>7.0837098765592073</v>
      </c>
    </row>
    <row r="75" spans="2:25">
      <c r="B75" s="27" t="s">
        <v>8</v>
      </c>
      <c r="C75" s="27"/>
      <c r="D75" s="11"/>
      <c r="E75" s="11">
        <v>2.1565663584300001</v>
      </c>
      <c r="F75" s="11">
        <v>3.8603465999999997</v>
      </c>
      <c r="G75" s="11">
        <v>5.096840760000001</v>
      </c>
      <c r="H75" s="11">
        <v>7.2917657999999994</v>
      </c>
      <c r="I75" s="78">
        <v>8.9096355810000016</v>
      </c>
      <c r="J75" s="78">
        <v>10.204334375697002</v>
      </c>
      <c r="K75" s="78">
        <v>11.559784594511544</v>
      </c>
      <c r="L75" s="78">
        <v>12.868175130419681</v>
      </c>
      <c r="M75" s="78">
        <v>14.282509230840464</v>
      </c>
      <c r="N75" s="78">
        <v>15.636966394401721</v>
      </c>
      <c r="O75" s="78">
        <v>16.979619481361553</v>
      </c>
      <c r="P75" s="11">
        <v>18.440422373399961</v>
      </c>
      <c r="Q75" s="11">
        <v>19.784872821582567</v>
      </c>
      <c r="R75" s="11">
        <v>21.229636897227564</v>
      </c>
      <c r="S75" s="11">
        <v>22.733428578754484</v>
      </c>
      <c r="T75" s="11">
        <v>24.26471549037246</v>
      </c>
      <c r="U75" s="11">
        <v>25.714740352426436</v>
      </c>
      <c r="V75" s="11">
        <v>27.167986566013184</v>
      </c>
      <c r="W75" s="11">
        <v>28.642740732974683</v>
      </c>
      <c r="X75" s="11">
        <v>30.198973684278723</v>
      </c>
    </row>
    <row r="76" spans="2:25">
      <c r="B76" s="4" t="s">
        <v>19</v>
      </c>
      <c r="D76" s="12">
        <f t="shared" ref="D76:S76" si="15">D102</f>
        <v>0</v>
      </c>
      <c r="E76" s="12">
        <f t="shared" si="15"/>
        <v>0.22499999999999998</v>
      </c>
      <c r="F76" s="12">
        <f t="shared" si="15"/>
        <v>0.22499999999999998</v>
      </c>
      <c r="G76" s="12">
        <f t="shared" si="15"/>
        <v>0.22499999999999998</v>
      </c>
      <c r="H76" s="12">
        <f t="shared" si="15"/>
        <v>0.22499999999999998</v>
      </c>
      <c r="I76" s="12">
        <f t="shared" si="15"/>
        <v>0.22499999999999998</v>
      </c>
      <c r="J76" s="12">
        <f t="shared" si="15"/>
        <v>0.22499999999999998</v>
      </c>
      <c r="K76" s="12">
        <f t="shared" si="15"/>
        <v>0.22499999999999998</v>
      </c>
      <c r="L76" s="12">
        <f>L102</f>
        <v>0.22499999999999998</v>
      </c>
      <c r="M76" s="12">
        <f t="shared" si="15"/>
        <v>0.22499999999999998</v>
      </c>
      <c r="N76" s="12">
        <f>N102</f>
        <v>0.22499999999999998</v>
      </c>
      <c r="O76" s="12">
        <f t="shared" si="15"/>
        <v>0</v>
      </c>
      <c r="P76" s="12">
        <f t="shared" si="15"/>
        <v>0</v>
      </c>
      <c r="Q76" s="12">
        <f t="shared" si="15"/>
        <v>0</v>
      </c>
      <c r="R76" s="12">
        <f t="shared" si="15"/>
        <v>0</v>
      </c>
      <c r="S76" s="12">
        <f t="shared" si="15"/>
        <v>0</v>
      </c>
      <c r="T76" s="12">
        <f t="shared" ref="T76:X76" si="16">T102</f>
        <v>0</v>
      </c>
      <c r="U76" s="12">
        <f t="shared" si="16"/>
        <v>0</v>
      </c>
      <c r="V76" s="12">
        <f t="shared" si="16"/>
        <v>0</v>
      </c>
      <c r="W76" s="12">
        <f t="shared" si="16"/>
        <v>0</v>
      </c>
      <c r="X76" s="12">
        <f t="shared" si="16"/>
        <v>0</v>
      </c>
    </row>
    <row r="78" spans="2:25" ht="15">
      <c r="B78" s="30" t="s">
        <v>10</v>
      </c>
      <c r="C78" s="30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2:25" ht="8.25" customHeight="1"/>
    <row r="80" spans="2:25">
      <c r="B80" s="27"/>
      <c r="C80" s="27"/>
      <c r="D80" s="3">
        <f>D$21</f>
        <v>2023</v>
      </c>
      <c r="E80" s="3">
        <f>E$21</f>
        <v>2024</v>
      </c>
      <c r="F80" s="3">
        <f t="shared" ref="F80:X80" si="17">F$21</f>
        <v>2025</v>
      </c>
      <c r="G80" s="3">
        <f t="shared" si="17"/>
        <v>2026</v>
      </c>
      <c r="H80" s="3">
        <f t="shared" si="17"/>
        <v>2027</v>
      </c>
      <c r="I80" s="3">
        <v>2028</v>
      </c>
      <c r="J80" s="3">
        <v>2029</v>
      </c>
      <c r="K80" s="3">
        <v>2030</v>
      </c>
      <c r="L80" s="3">
        <f t="shared" si="17"/>
        <v>2031</v>
      </c>
      <c r="M80" s="3">
        <f t="shared" si="17"/>
        <v>2032</v>
      </c>
      <c r="N80" s="3">
        <f t="shared" si="17"/>
        <v>2033</v>
      </c>
      <c r="O80" s="3">
        <f t="shared" si="17"/>
        <v>2034</v>
      </c>
      <c r="P80" s="3">
        <f t="shared" si="17"/>
        <v>2035</v>
      </c>
      <c r="Q80" s="3">
        <f t="shared" si="17"/>
        <v>2036</v>
      </c>
      <c r="R80" s="3">
        <f t="shared" si="17"/>
        <v>2037</v>
      </c>
      <c r="S80" s="3">
        <f t="shared" si="17"/>
        <v>2038</v>
      </c>
      <c r="T80" s="3">
        <f t="shared" si="17"/>
        <v>2039</v>
      </c>
      <c r="U80" s="3">
        <f t="shared" si="17"/>
        <v>2040</v>
      </c>
      <c r="V80" s="3">
        <f t="shared" si="17"/>
        <v>2041</v>
      </c>
      <c r="W80" s="3">
        <f t="shared" si="17"/>
        <v>2042</v>
      </c>
      <c r="X80" s="3">
        <f t="shared" si="17"/>
        <v>2043</v>
      </c>
    </row>
    <row r="81" spans="2:24">
      <c r="B81" s="4" t="s">
        <v>89</v>
      </c>
      <c r="D81" s="4">
        <f t="shared" ref="D81:X81" si="18">SUM(D82:D84)</f>
        <v>0</v>
      </c>
      <c r="E81" s="4">
        <f t="shared" si="18"/>
        <v>85827</v>
      </c>
      <c r="F81" s="4">
        <f t="shared" si="18"/>
        <v>160000</v>
      </c>
      <c r="G81" s="4">
        <f t="shared" si="18"/>
        <v>240000</v>
      </c>
      <c r="H81" s="4">
        <f t="shared" si="18"/>
        <v>360000</v>
      </c>
      <c r="I81" s="4">
        <f t="shared" si="18"/>
        <v>420000</v>
      </c>
      <c r="J81" s="4">
        <f t="shared" si="18"/>
        <v>456120.00000000006</v>
      </c>
      <c r="K81" s="4">
        <f t="shared" si="18"/>
        <v>488283.60000000009</v>
      </c>
      <c r="L81" s="4">
        <f t="shared" si="18"/>
        <v>522890.50800000021</v>
      </c>
      <c r="M81" s="4">
        <f t="shared" si="18"/>
        <v>559214.40456000029</v>
      </c>
      <c r="N81" s="4">
        <f t="shared" si="18"/>
        <v>589022.27485920023</v>
      </c>
      <c r="O81" s="4">
        <f t="shared" si="18"/>
        <v>620543.71749686426</v>
      </c>
      <c r="P81" s="4">
        <f t="shared" si="18"/>
        <v>653880.04881571047</v>
      </c>
      <c r="Q81" s="4">
        <f t="shared" si="18"/>
        <v>678048.14198554645</v>
      </c>
      <c r="R81" s="4">
        <f t="shared" si="18"/>
        <v>703143.21670651995</v>
      </c>
      <c r="S81" s="4">
        <f t="shared" si="18"/>
        <v>729201.55739716336</v>
      </c>
      <c r="T81" s="4">
        <f t="shared" si="18"/>
        <v>756260.8839558803</v>
      </c>
      <c r="U81" s="4">
        <f t="shared" si="18"/>
        <v>784360.40886220243</v>
      </c>
      <c r="V81" s="4">
        <f t="shared" si="18"/>
        <v>810167.57667666592</v>
      </c>
      <c r="W81" s="4">
        <f t="shared" si="18"/>
        <v>836845.08643472136</v>
      </c>
      <c r="X81" s="4">
        <f t="shared" si="18"/>
        <v>864422.74192579626</v>
      </c>
    </row>
    <row r="82" spans="2:24" outlineLevel="1">
      <c r="C82" s="4" t="s">
        <v>90</v>
      </c>
      <c r="D82" s="55"/>
      <c r="E82" s="67">
        <v>60305</v>
      </c>
      <c r="F82" s="67">
        <v>120000</v>
      </c>
      <c r="G82" s="67">
        <v>180000</v>
      </c>
      <c r="H82" s="67">
        <v>280000</v>
      </c>
      <c r="I82" s="55">
        <f>H82*1.2</f>
        <v>336000</v>
      </c>
      <c r="J82" s="55">
        <f>I82*1.1</f>
        <v>369600.00000000006</v>
      </c>
      <c r="K82" s="55">
        <f>J82*1.08</f>
        <v>399168.00000000012</v>
      </c>
      <c r="L82" s="55">
        <f t="shared" ref="L82:M82" si="19">K82*1.08</f>
        <v>431101.44000000018</v>
      </c>
      <c r="M82" s="55">
        <f t="shared" si="19"/>
        <v>465589.55520000024</v>
      </c>
      <c r="N82" s="55">
        <f>M82*1.06</f>
        <v>493524.92851200025</v>
      </c>
      <c r="O82" s="55">
        <f t="shared" ref="O82:P82" si="20">N82*1.06</f>
        <v>523136.42422272026</v>
      </c>
      <c r="P82" s="55">
        <f t="shared" si="20"/>
        <v>554524.60967608355</v>
      </c>
      <c r="Q82" s="55">
        <f>P82*1.04</f>
        <v>576705.59406312695</v>
      </c>
      <c r="R82" s="55">
        <f t="shared" ref="R82:U82" si="21">Q82*1.04</f>
        <v>599773.81782565208</v>
      </c>
      <c r="S82" s="55">
        <f t="shared" si="21"/>
        <v>623764.77053867816</v>
      </c>
      <c r="T82" s="55">
        <f t="shared" si="21"/>
        <v>648715.36136022536</v>
      </c>
      <c r="U82" s="55">
        <f t="shared" si="21"/>
        <v>674663.97581463435</v>
      </c>
      <c r="V82" s="55">
        <f>U82*1.035</f>
        <v>698277.21496814652</v>
      </c>
      <c r="W82" s="55">
        <f t="shared" ref="W82:X82" si="22">V82*1.035</f>
        <v>722716.91749203159</v>
      </c>
      <c r="X82" s="55">
        <f t="shared" si="22"/>
        <v>748012.00960425264</v>
      </c>
    </row>
    <row r="83" spans="2:24" outlineLevel="1">
      <c r="C83" s="4" t="s">
        <v>91</v>
      </c>
      <c r="D83" s="55"/>
      <c r="E83" s="67">
        <v>25522</v>
      </c>
      <c r="F83" s="67">
        <v>40000</v>
      </c>
      <c r="G83" s="67">
        <v>60000</v>
      </c>
      <c r="H83" s="67">
        <v>80000</v>
      </c>
      <c r="I83" s="55">
        <f>H83*1.05</f>
        <v>84000</v>
      </c>
      <c r="J83" s="55">
        <f>I83*1.03</f>
        <v>86520</v>
      </c>
      <c r="K83" s="55">
        <f>J83*1.03</f>
        <v>89115.6</v>
      </c>
      <c r="L83" s="55">
        <f>K83*1.03</f>
        <v>91789.068000000014</v>
      </c>
      <c r="M83" s="55">
        <f t="shared" ref="M83:X83" si="23">L83*1.02</f>
        <v>93624.849360000022</v>
      </c>
      <c r="N83" s="55">
        <f t="shared" si="23"/>
        <v>95497.346347200029</v>
      </c>
      <c r="O83" s="55">
        <f t="shared" si="23"/>
        <v>97407.293274144031</v>
      </c>
      <c r="P83" s="55">
        <f t="shared" si="23"/>
        <v>99355.43913962692</v>
      </c>
      <c r="Q83" s="55">
        <f t="shared" si="23"/>
        <v>101342.54792241946</v>
      </c>
      <c r="R83" s="55">
        <f t="shared" si="23"/>
        <v>103369.39888086786</v>
      </c>
      <c r="S83" s="55">
        <f t="shared" si="23"/>
        <v>105436.78685848521</v>
      </c>
      <c r="T83" s="55">
        <f t="shared" si="23"/>
        <v>107545.52259565491</v>
      </c>
      <c r="U83" s="55">
        <f t="shared" si="23"/>
        <v>109696.43304756802</v>
      </c>
      <c r="V83" s="55">
        <f t="shared" si="23"/>
        <v>111890.36170851938</v>
      </c>
      <c r="W83" s="55">
        <f t="shared" si="23"/>
        <v>114128.16894268978</v>
      </c>
      <c r="X83" s="55">
        <f t="shared" si="23"/>
        <v>116410.73232154358</v>
      </c>
    </row>
    <row r="84" spans="2:24" outlineLevel="1">
      <c r="D84" s="65"/>
      <c r="E84" s="65"/>
      <c r="F84" s="65"/>
      <c r="G84" s="65"/>
      <c r="H84" s="65"/>
      <c r="I84" s="18"/>
      <c r="J84" s="18"/>
      <c r="K84" s="18"/>
      <c r="L84" s="18"/>
      <c r="M84" s="18"/>
      <c r="N84" s="18"/>
      <c r="O84" s="65"/>
      <c r="P84" s="66"/>
      <c r="Q84" s="66"/>
      <c r="R84" s="66"/>
      <c r="S84" s="18"/>
      <c r="T84" s="18"/>
      <c r="U84" s="18"/>
      <c r="V84" s="18"/>
      <c r="W84" s="18"/>
      <c r="X84" s="18"/>
    </row>
    <row r="85" spans="2:24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</row>
    <row r="86" spans="2:24">
      <c r="B86" s="4" t="s">
        <v>92</v>
      </c>
      <c r="D86" s="4">
        <f t="shared" ref="D86:X86" si="24">IFERROR(SUMPRODUCT(D87:D89,D82:D84)/D81,0)</f>
        <v>0</v>
      </c>
      <c r="E86" s="4">
        <f t="shared" si="24"/>
        <v>21.513171845689584</v>
      </c>
      <c r="F86" s="4">
        <f t="shared" si="24"/>
        <v>21.75</v>
      </c>
      <c r="G86" s="4">
        <f t="shared" si="24"/>
        <v>21</v>
      </c>
      <c r="H86" s="4">
        <f t="shared" si="24"/>
        <v>20.333333333333332</v>
      </c>
      <c r="I86" s="4">
        <f t="shared" si="24"/>
        <v>21.42</v>
      </c>
      <c r="J86" s="4">
        <f t="shared" si="24"/>
        <v>22.52511049723757</v>
      </c>
      <c r="K86" s="4">
        <f t="shared" si="24"/>
        <v>23.676297979493889</v>
      </c>
      <c r="L86" s="4">
        <f t="shared" si="24"/>
        <v>24.648510386257616</v>
      </c>
      <c r="M86" s="4">
        <f t="shared" si="24"/>
        <v>25.664949998820184</v>
      </c>
      <c r="N86" s="4">
        <f t="shared" si="24"/>
        <v>26.712227185450814</v>
      </c>
      <c r="O86" s="4">
        <f t="shared" si="24"/>
        <v>27.534347086837364</v>
      </c>
      <c r="P86" s="4">
        <f t="shared" si="24"/>
        <v>28.381196485584237</v>
      </c>
      <c r="Q86" s="4">
        <f t="shared" si="24"/>
        <v>29.2432416304359</v>
      </c>
      <c r="R86" s="4">
        <f t="shared" si="24"/>
        <v>30.131318655082737</v>
      </c>
      <c r="S86" s="4">
        <f t="shared" si="24"/>
        <v>31.046210213955288</v>
      </c>
      <c r="T86" s="4">
        <f t="shared" si="24"/>
        <v>31.988722449610837</v>
      </c>
      <c r="U86" s="4">
        <f t="shared" si="24"/>
        <v>32.639688749084762</v>
      </c>
      <c r="V86" s="4">
        <f t="shared" si="24"/>
        <v>33.300960528224437</v>
      </c>
      <c r="W86" s="4">
        <f t="shared" si="24"/>
        <v>33.975536411333387</v>
      </c>
      <c r="X86" s="4">
        <f t="shared" si="24"/>
        <v>34.663682774602407</v>
      </c>
    </row>
    <row r="87" spans="2:24" outlineLevel="1">
      <c r="C87" s="4" t="s">
        <v>87</v>
      </c>
      <c r="D87" s="55"/>
      <c r="E87" s="67">
        <v>23</v>
      </c>
      <c r="F87" s="67">
        <v>23</v>
      </c>
      <c r="G87" s="67">
        <v>22</v>
      </c>
      <c r="H87" s="67">
        <v>21</v>
      </c>
      <c r="I87" s="18">
        <f>H87*1.05</f>
        <v>22.05</v>
      </c>
      <c r="J87" s="18">
        <f t="shared" ref="J87:K87" si="25">I87*1.05</f>
        <v>23.152500000000003</v>
      </c>
      <c r="K87" s="18">
        <f t="shared" si="25"/>
        <v>24.310125000000003</v>
      </c>
      <c r="L87" s="18">
        <f>K87*1.04</f>
        <v>25.282530000000005</v>
      </c>
      <c r="M87" s="18">
        <f t="shared" ref="M87" si="26">L87*1.04</f>
        <v>26.293831200000007</v>
      </c>
      <c r="N87" s="18">
        <f t="shared" ref="N87" si="27">M87*1.04</f>
        <v>27.345584448000007</v>
      </c>
      <c r="O87" s="18">
        <f>N87*1.03</f>
        <v>28.16595198144001</v>
      </c>
      <c r="P87" s="18">
        <f t="shared" ref="P87:T87" si="28">O87*1.03</f>
        <v>29.010930540883212</v>
      </c>
      <c r="Q87" s="18">
        <f t="shared" si="28"/>
        <v>29.881258457109709</v>
      </c>
      <c r="R87" s="18">
        <f t="shared" si="28"/>
        <v>30.777696210823002</v>
      </c>
      <c r="S87" s="18">
        <f t="shared" si="28"/>
        <v>31.701027097147694</v>
      </c>
      <c r="T87" s="18">
        <f t="shared" si="28"/>
        <v>32.652057910062126</v>
      </c>
      <c r="U87" s="18">
        <f>T87*1.02</f>
        <v>33.305099068263367</v>
      </c>
      <c r="V87" s="18">
        <f t="shared" ref="V87:X87" si="29">U87*1.02</f>
        <v>33.971201049628633</v>
      </c>
      <c r="W87" s="18">
        <f t="shared" si="29"/>
        <v>34.650625070621203</v>
      </c>
      <c r="X87" s="18">
        <f t="shared" si="29"/>
        <v>35.343637572033629</v>
      </c>
    </row>
    <row r="88" spans="2:24" outlineLevel="1">
      <c r="C88" s="4" t="s">
        <v>86</v>
      </c>
      <c r="D88" s="55"/>
      <c r="E88" s="67">
        <v>18</v>
      </c>
      <c r="F88" s="67">
        <v>18</v>
      </c>
      <c r="G88" s="67">
        <v>18</v>
      </c>
      <c r="H88" s="67">
        <v>18</v>
      </c>
      <c r="I88" s="18">
        <f>H88*1.05</f>
        <v>18.900000000000002</v>
      </c>
      <c r="J88" s="18">
        <f t="shared" ref="J88:K88" si="30">I88*1.05</f>
        <v>19.845000000000002</v>
      </c>
      <c r="K88" s="18">
        <f t="shared" si="30"/>
        <v>20.837250000000004</v>
      </c>
      <c r="L88" s="18">
        <f>K88*1.04</f>
        <v>21.670740000000006</v>
      </c>
      <c r="M88" s="18">
        <f t="shared" ref="M88" si="31">L88*1.04</f>
        <v>22.537569600000008</v>
      </c>
      <c r="N88" s="18">
        <f t="shared" ref="N88" si="32">M88*1.04</f>
        <v>23.43907238400001</v>
      </c>
      <c r="O88" s="18">
        <f>N88*1.03</f>
        <v>24.142244555520012</v>
      </c>
      <c r="P88" s="18">
        <f t="shared" ref="P88:T88" si="33">O88*1.03</f>
        <v>24.866511892185613</v>
      </c>
      <c r="Q88" s="18">
        <f t="shared" si="33"/>
        <v>25.612507248951182</v>
      </c>
      <c r="R88" s="18">
        <f t="shared" si="33"/>
        <v>26.380882466419717</v>
      </c>
      <c r="S88" s="18">
        <f t="shared" si="33"/>
        <v>27.172308940412307</v>
      </c>
      <c r="T88" s="18">
        <f t="shared" si="33"/>
        <v>27.987478208624676</v>
      </c>
      <c r="U88" s="18">
        <f>T88*1.02</f>
        <v>28.547227772797171</v>
      </c>
      <c r="V88" s="18">
        <f t="shared" ref="V88:X88" si="34">U88*1.02</f>
        <v>29.118172328253117</v>
      </c>
      <c r="W88" s="18">
        <f t="shared" si="34"/>
        <v>29.700535774818178</v>
      </c>
      <c r="X88" s="18">
        <f t="shared" si="34"/>
        <v>30.294546490314541</v>
      </c>
    </row>
    <row r="89" spans="2:24" outlineLevel="1">
      <c r="D89" s="65"/>
      <c r="E89" s="65"/>
      <c r="F89" s="65"/>
      <c r="G89" s="65"/>
      <c r="H89" s="65"/>
      <c r="I89" s="65"/>
      <c r="J89" s="65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1" spans="2:24">
      <c r="B91" s="28" t="s">
        <v>16</v>
      </c>
      <c r="C91" s="28"/>
      <c r="D91" s="23">
        <f t="shared" ref="D91:X91" si="35">D81*D86/1000000</f>
        <v>0</v>
      </c>
      <c r="E91" s="23">
        <f t="shared" si="35"/>
        <v>1.846411</v>
      </c>
      <c r="F91" s="23">
        <f t="shared" si="35"/>
        <v>3.48</v>
      </c>
      <c r="G91" s="23">
        <f t="shared" si="35"/>
        <v>5.04</v>
      </c>
      <c r="H91" s="23">
        <f t="shared" si="35"/>
        <v>7.32</v>
      </c>
      <c r="I91" s="23">
        <f t="shared" si="35"/>
        <v>8.9963999999999995</v>
      </c>
      <c r="J91" s="23">
        <f t="shared" si="35"/>
        <v>10.274153400000003</v>
      </c>
      <c r="K91" s="23">
        <f t="shared" si="35"/>
        <v>11.560748012100003</v>
      </c>
      <c r="L91" s="23">
        <f t="shared" si="35"/>
        <v>12.888472117313526</v>
      </c>
      <c r="M91" s="23">
        <f t="shared" si="35"/>
        <v>14.352209731652408</v>
      </c>
      <c r="N91" s="23">
        <f t="shared" si="35"/>
        <v>15.73409682333001</v>
      </c>
      <c r="O91" s="23">
        <f t="shared" si="35"/>
        <v>17.086266100115012</v>
      </c>
      <c r="P91" s="23">
        <f t="shared" si="35"/>
        <v>18.557898143442092</v>
      </c>
      <c r="Q91" s="23">
        <f t="shared" si="35"/>
        <v>19.828325653151445</v>
      </c>
      <c r="R91" s="23">
        <f t="shared" si="35"/>
        <v>21.18663232274405</v>
      </c>
      <c r="S91" s="23">
        <f t="shared" si="35"/>
        <v>22.638944839295917</v>
      </c>
      <c r="T91" s="23">
        <f t="shared" si="35"/>
        <v>24.191819516362003</v>
      </c>
      <c r="U91" s="23">
        <f t="shared" si="35"/>
        <v>25.601279612367154</v>
      </c>
      <c r="V91" s="23">
        <f t="shared" si="35"/>
        <v>26.979358492156898</v>
      </c>
      <c r="W91" s="23">
        <f t="shared" si="35"/>
        <v>28.432260704808311</v>
      </c>
      <c r="X91" s="23">
        <f t="shared" si="35"/>
        <v>29.964075709267807</v>
      </c>
    </row>
    <row r="92" spans="2:24"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</row>
    <row r="93" spans="2:24">
      <c r="B93" s="28" t="s">
        <v>17</v>
      </c>
      <c r="C93" s="28"/>
      <c r="D93" s="23">
        <f t="shared" ref="D93:X93" si="36">D91-SUM(D71:D75)-D29-D48-D76</f>
        <v>0</v>
      </c>
      <c r="E93" s="23">
        <f t="shared" si="36"/>
        <v>-1.1267308887142859</v>
      </c>
      <c r="F93" s="23">
        <f t="shared" si="36"/>
        <v>-1.8108599999999999</v>
      </c>
      <c r="G93" s="23">
        <f t="shared" si="36"/>
        <v>-1.9707888571428582</v>
      </c>
      <c r="H93" s="23">
        <f t="shared" si="36"/>
        <v>-2.5893228571428559</v>
      </c>
      <c r="I93" s="23">
        <f t="shared" si="36"/>
        <v>-3.1245786714285742</v>
      </c>
      <c r="J93" s="23">
        <f t="shared" si="36"/>
        <v>-3.6595045594142839</v>
      </c>
      <c r="K93" s="23">
        <f t="shared" si="36"/>
        <v>-4.2221624220412322</v>
      </c>
      <c r="L93" s="23">
        <f t="shared" si="36"/>
        <v>-4.4240209890247035</v>
      </c>
      <c r="M93" s="23">
        <f t="shared" si="36"/>
        <v>-4.492089142401074</v>
      </c>
      <c r="N93" s="23">
        <f t="shared" si="36"/>
        <v>-4.6002285313105631</v>
      </c>
      <c r="O93" s="23">
        <f t="shared" si="36"/>
        <v>-4.5056556581796761</v>
      </c>
      <c r="P93" s="23">
        <f t="shared" si="36"/>
        <v>-4.6231982611081257</v>
      </c>
      <c r="Q93" s="23">
        <f t="shared" si="36"/>
        <v>-4.7983004052397336</v>
      </c>
      <c r="R93" s="23">
        <f t="shared" si="36"/>
        <v>-5.0477959454381303</v>
      </c>
      <c r="S93" s="23">
        <f t="shared" si="36"/>
        <v>-5.4520163690429531</v>
      </c>
      <c r="T93" s="23">
        <f t="shared" si="36"/>
        <v>-5.7896193606410353</v>
      </c>
      <c r="U93" s="23">
        <f t="shared" si="36"/>
        <v>-6.1703134153198054</v>
      </c>
      <c r="V93" s="23">
        <f t="shared" si="36"/>
        <v>-6.5863656634149326</v>
      </c>
      <c r="W93" s="23">
        <f t="shared" si="36"/>
        <v>-6.9541476075061137</v>
      </c>
      <c r="X93" s="23">
        <f t="shared" si="36"/>
        <v>-7.3436078515701251</v>
      </c>
    </row>
    <row r="94" spans="2:24">
      <c r="B94" s="4" t="s">
        <v>67</v>
      </c>
      <c r="D94" s="22">
        <f t="shared" ref="D94:S94" si="37">D93*$C$11</f>
        <v>0</v>
      </c>
      <c r="E94" s="22">
        <f t="shared" si="37"/>
        <v>-0.28168272217857149</v>
      </c>
      <c r="F94" s="22">
        <f t="shared" si="37"/>
        <v>-0.45271499999999998</v>
      </c>
      <c r="G94" s="22">
        <f t="shared" si="37"/>
        <v>-0.49269721428571456</v>
      </c>
      <c r="H94" s="22">
        <f t="shared" si="37"/>
        <v>-0.64733071428571398</v>
      </c>
      <c r="I94" s="22">
        <f t="shared" si="37"/>
        <v>-0.78114466785714354</v>
      </c>
      <c r="J94" s="22">
        <f t="shared" si="37"/>
        <v>-0.91487613985357097</v>
      </c>
      <c r="K94" s="22">
        <f t="shared" si="37"/>
        <v>-1.055540605510308</v>
      </c>
      <c r="L94" s="22">
        <f t="shared" si="37"/>
        <v>-1.1060052472561759</v>
      </c>
      <c r="M94" s="22">
        <f t="shared" si="37"/>
        <v>-1.1230222856002685</v>
      </c>
      <c r="N94" s="22">
        <f t="shared" si="37"/>
        <v>-1.1500571328276408</v>
      </c>
      <c r="O94" s="22">
        <f t="shared" si="37"/>
        <v>-1.126413914544919</v>
      </c>
      <c r="P94" s="22">
        <f t="shared" si="37"/>
        <v>-1.1557995652770314</v>
      </c>
      <c r="Q94" s="22">
        <f t="shared" si="37"/>
        <v>-1.1995751013099334</v>
      </c>
      <c r="R94" s="22">
        <f t="shared" si="37"/>
        <v>-1.2619489863595326</v>
      </c>
      <c r="S94" s="22">
        <f t="shared" si="37"/>
        <v>-1.3630040922607383</v>
      </c>
      <c r="T94" s="22">
        <f t="shared" ref="T94:X94" si="38">T93*$C$11</f>
        <v>-1.4474048401602588</v>
      </c>
      <c r="U94" s="22">
        <f t="shared" si="38"/>
        <v>-1.5425783538299513</v>
      </c>
      <c r="V94" s="22">
        <f t="shared" si="38"/>
        <v>-1.6465914158537331</v>
      </c>
      <c r="W94" s="22">
        <f t="shared" si="38"/>
        <v>-1.7385369018765284</v>
      </c>
      <c r="X94" s="22">
        <f t="shared" si="38"/>
        <v>-1.8359019628925313</v>
      </c>
    </row>
    <row r="95" spans="2:24">
      <c r="B95" s="28" t="s">
        <v>18</v>
      </c>
      <c r="C95" s="28"/>
      <c r="D95" s="23">
        <f t="shared" ref="D95:S95" si="39">D93-D94</f>
        <v>0</v>
      </c>
      <c r="E95" s="23">
        <f t="shared" si="39"/>
        <v>-0.84504816653571446</v>
      </c>
      <c r="F95" s="23">
        <f t="shared" si="39"/>
        <v>-1.3581449999999999</v>
      </c>
      <c r="G95" s="23">
        <f t="shared" si="39"/>
        <v>-1.4780916428571436</v>
      </c>
      <c r="H95" s="23">
        <f t="shared" si="39"/>
        <v>-1.9419921428571421</v>
      </c>
      <c r="I95" s="23">
        <f t="shared" si="39"/>
        <v>-2.3434340035714305</v>
      </c>
      <c r="J95" s="23">
        <f t="shared" si="39"/>
        <v>-2.7446284195607129</v>
      </c>
      <c r="K95" s="23">
        <f t="shared" si="39"/>
        <v>-3.1666218165309239</v>
      </c>
      <c r="L95" s="23">
        <f t="shared" si="39"/>
        <v>-3.3180157417685274</v>
      </c>
      <c r="M95" s="23">
        <f t="shared" si="39"/>
        <v>-3.3690668568008055</v>
      </c>
      <c r="N95" s="23">
        <f t="shared" si="39"/>
        <v>-3.4501713984829223</v>
      </c>
      <c r="O95" s="23">
        <f t="shared" si="39"/>
        <v>-3.3792417436347568</v>
      </c>
      <c r="P95" s="23">
        <f t="shared" si="39"/>
        <v>-3.4673986958310943</v>
      </c>
      <c r="Q95" s="23">
        <f t="shared" si="39"/>
        <v>-3.5987253039298004</v>
      </c>
      <c r="R95" s="23">
        <f t="shared" si="39"/>
        <v>-3.7858469590785977</v>
      </c>
      <c r="S95" s="23">
        <f t="shared" si="39"/>
        <v>-4.0890122767822152</v>
      </c>
      <c r="T95" s="23">
        <f t="shared" ref="T95:X95" si="40">T93-T94</f>
        <v>-4.3422145204807769</v>
      </c>
      <c r="U95" s="23">
        <f t="shared" si="40"/>
        <v>-4.6277350614898545</v>
      </c>
      <c r="V95" s="23">
        <f t="shared" si="40"/>
        <v>-4.9397742475611999</v>
      </c>
      <c r="W95" s="23">
        <f t="shared" si="40"/>
        <v>-5.2156107056295848</v>
      </c>
      <c r="X95" s="23">
        <f t="shared" si="40"/>
        <v>-5.5077058886775934</v>
      </c>
    </row>
    <row r="96" spans="2:24">
      <c r="B96" s="22" t="s">
        <v>28</v>
      </c>
      <c r="C96" s="22"/>
      <c r="D96" s="22">
        <f>D95</f>
        <v>0</v>
      </c>
      <c r="E96" s="22">
        <f t="shared" ref="E96:X96" si="41">IFERROR(E95/((1+$C$17)^(E80-$C$9)),0)</f>
        <v>-0.82043511314147033</v>
      </c>
      <c r="F96" s="22">
        <f t="shared" si="41"/>
        <v>-1.2801819210104628</v>
      </c>
      <c r="G96" s="22">
        <f t="shared" si="41"/>
        <v>-1.3526632387203241</v>
      </c>
      <c r="H96" s="22">
        <f t="shared" si="41"/>
        <v>-1.7254348660826051</v>
      </c>
      <c r="I96" s="22">
        <f t="shared" si="41"/>
        <v>-2.0214667571052667</v>
      </c>
      <c r="J96" s="22">
        <f t="shared" si="41"/>
        <v>-2.298583091828637</v>
      </c>
      <c r="K96" s="22">
        <f t="shared" si="41"/>
        <v>-2.574753318655965</v>
      </c>
      <c r="L96" s="22">
        <f t="shared" si="41"/>
        <v>-2.619272266151079</v>
      </c>
      <c r="M96" s="22">
        <f t="shared" si="41"/>
        <v>-2.5821092114364874</v>
      </c>
      <c r="N96" s="22">
        <f t="shared" si="41"/>
        <v>-2.5672515429618668</v>
      </c>
      <c r="O96" s="22">
        <f t="shared" si="41"/>
        <v>-2.4412361343724482</v>
      </c>
      <c r="P96" s="22">
        <f t="shared" si="41"/>
        <v>-2.4319636818632846</v>
      </c>
      <c r="Q96" s="22">
        <f t="shared" si="41"/>
        <v>-2.4505568179783541</v>
      </c>
      <c r="R96" s="22">
        <f t="shared" si="41"/>
        <v>-2.5028908347511347</v>
      </c>
      <c r="S96" s="22">
        <f t="shared" si="41"/>
        <v>-2.6245813829045193</v>
      </c>
      <c r="T96" s="22">
        <f t="shared" si="41"/>
        <v>-2.7059245321651422</v>
      </c>
      <c r="U96" s="22">
        <f t="shared" si="41"/>
        <v>-2.7998558192138256</v>
      </c>
      <c r="V96" s="22">
        <f t="shared" si="41"/>
        <v>-2.9015967558592295</v>
      </c>
      <c r="W96" s="22">
        <f t="shared" si="41"/>
        <v>-2.9743899067112367</v>
      </c>
      <c r="X96" s="22">
        <f t="shared" si="41"/>
        <v>-3.049483211750085</v>
      </c>
    </row>
    <row r="98" spans="2:24" ht="15">
      <c r="B98" s="30" t="s">
        <v>20</v>
      </c>
      <c r="C98" s="30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2:24" ht="9.75" customHeight="1"/>
    <row r="100" spans="2:24">
      <c r="B100" s="27"/>
      <c r="C100" s="27"/>
      <c r="D100" s="3">
        <f>D$21</f>
        <v>2023</v>
      </c>
      <c r="E100" s="3">
        <f>E$21</f>
        <v>2024</v>
      </c>
      <c r="F100" s="3">
        <f t="shared" ref="F100:X100" si="42">F$21</f>
        <v>2025</v>
      </c>
      <c r="G100" s="3">
        <f t="shared" si="42"/>
        <v>2026</v>
      </c>
      <c r="H100" s="3">
        <f t="shared" si="42"/>
        <v>2027</v>
      </c>
      <c r="I100" s="3">
        <f t="shared" si="42"/>
        <v>2028</v>
      </c>
      <c r="J100" s="3">
        <f t="shared" si="42"/>
        <v>2029</v>
      </c>
      <c r="K100" s="3">
        <f t="shared" si="42"/>
        <v>2030</v>
      </c>
      <c r="L100" s="3">
        <f t="shared" si="42"/>
        <v>2031</v>
      </c>
      <c r="M100" s="3">
        <f t="shared" si="42"/>
        <v>2032</v>
      </c>
      <c r="N100" s="3">
        <f t="shared" si="42"/>
        <v>2033</v>
      </c>
      <c r="O100" s="3">
        <f t="shared" si="42"/>
        <v>2034</v>
      </c>
      <c r="P100" s="3">
        <f t="shared" si="42"/>
        <v>2035</v>
      </c>
      <c r="Q100" s="3">
        <f t="shared" si="42"/>
        <v>2036</v>
      </c>
      <c r="R100" s="3">
        <f t="shared" si="42"/>
        <v>2037</v>
      </c>
      <c r="S100" s="3">
        <f t="shared" si="42"/>
        <v>2038</v>
      </c>
      <c r="T100" s="3">
        <f t="shared" si="42"/>
        <v>2039</v>
      </c>
      <c r="U100" s="3">
        <f t="shared" si="42"/>
        <v>2040</v>
      </c>
      <c r="V100" s="3">
        <f t="shared" si="42"/>
        <v>2041</v>
      </c>
      <c r="W100" s="3">
        <f t="shared" si="42"/>
        <v>2042</v>
      </c>
      <c r="X100" s="3">
        <f t="shared" si="42"/>
        <v>2043</v>
      </c>
    </row>
    <row r="101" spans="2:24">
      <c r="B101" s="4" t="s">
        <v>21</v>
      </c>
      <c r="D101" s="4">
        <f>IFERROR(IF(D100&lt;$C$15,0,$C$14/$C$16),0)</f>
        <v>0</v>
      </c>
      <c r="E101" s="22">
        <f>IFERROR(IF(E100&lt;$C$15,0,IF(SUM($D$101:D101)&lt;$C$14,$C$14/$C$16,0)),0)</f>
        <v>0.75</v>
      </c>
      <c r="F101" s="22">
        <f>IFERROR(IF(F100&lt;$C$15,0,IF(SUM($D$101:E101)&lt;$C$14,$C$14/$C$16,0)),0)</f>
        <v>0.75</v>
      </c>
      <c r="G101" s="22">
        <f>IFERROR(IF(G100&lt;$C$15,0,IF(SUM($D$101:F101)&lt;$C$14,$C$14/$C$16,0)),0)</f>
        <v>0.75</v>
      </c>
      <c r="H101" s="22">
        <f>IFERROR(IF(H100&lt;$C$15,0,IF(SUM($D$101:G101)&lt;$C$14,$C$14/$C$16,0)),0)</f>
        <v>0.75</v>
      </c>
      <c r="I101" s="22">
        <f>IFERROR(IF(I100&lt;$C$15,0,IF(SUM($D$101:H101)&lt;$C$14,$C$14/$C$16,0)),0)</f>
        <v>0.75</v>
      </c>
      <c r="J101" s="22">
        <f>IFERROR(IF(J100&lt;$C$15,0,IF(SUM($D$101:I101)&lt;$C$14,$C$14/$C$16,0)),0)</f>
        <v>0.75</v>
      </c>
      <c r="K101" s="22">
        <f>IFERROR(IF(K100&lt;$C$15,0,IF(SUM($D$101:J101)&lt;$C$14,$C$14/$C$16,0)),0)</f>
        <v>0.75</v>
      </c>
      <c r="L101" s="22">
        <f>IFERROR(IF(L100&lt;$C$15,0,IF(SUM($D$101:K101)&lt;$C$14,$C$14/$C$16,0)),0)</f>
        <v>0.75</v>
      </c>
      <c r="M101" s="22">
        <f>IFERROR(IF(M100&lt;$C$15,0,IF(SUM($D$101:L101)&lt;$C$14,$C$14/$C$16,0)),0)</f>
        <v>0.75</v>
      </c>
      <c r="N101" s="22">
        <f>IFERROR(IF(N100&lt;$C$15,0,IF(SUM($D$101:M101)&lt;$C$14,$C$14/$C$16,0)),0)</f>
        <v>0.75</v>
      </c>
      <c r="O101" s="22">
        <f>IFERROR(IF(O100&lt;$C$15,0,IF(SUM($D$101:N101)&lt;$C$14,$C$14/$C$16,0)),0)</f>
        <v>0</v>
      </c>
      <c r="P101" s="22">
        <f>IFERROR(IF(P100&lt;$C$15,0,IF(SUM($D$101:O101)&lt;$C$14,$C$14/$C$16,0)),0)</f>
        <v>0</v>
      </c>
      <c r="Q101" s="22">
        <f>IFERROR(IF(Q100&lt;$C$15,0,IF(SUM($D$101:P101)&lt;$C$14,$C$14/$C$16,0)),0)</f>
        <v>0</v>
      </c>
      <c r="R101" s="22">
        <f>IFERROR(IF(R100&lt;$C$15,0,IF(SUM($D$101:Q101)&lt;$C$14,$C$14/$C$16,0)),0)</f>
        <v>0</v>
      </c>
      <c r="S101" s="22">
        <f>IFERROR(IF(S100&lt;$C$15,0,IF(SUM($D$101:R101)&lt;$C$14,$C$14/$C$16,0)),0)</f>
        <v>0</v>
      </c>
      <c r="T101" s="22">
        <f>IFERROR(IF(T100&lt;$C$15,0,IF(SUM($D$101:S101)&lt;$C$14,$C$14/$C$16,0)),0)</f>
        <v>0</v>
      </c>
      <c r="U101" s="22">
        <f>IFERROR(IF(U100&lt;$C$15,0,IF(SUM($D$101:T101)&lt;$C$14,$C$14/$C$16,0)),0)</f>
        <v>0</v>
      </c>
      <c r="V101" s="22">
        <f>IFERROR(IF(V100&lt;$C$15,0,IF(SUM($D$101:U101)&lt;$C$14,$C$14/$C$16,0)),0)</f>
        <v>0</v>
      </c>
      <c r="W101" s="22">
        <f>IFERROR(IF(W100&lt;$C$15,0,IF(SUM($D$101:V101)&lt;$C$14,$C$14/$C$16,0)),0)</f>
        <v>0</v>
      </c>
      <c r="X101" s="22">
        <f>IFERROR(IF(X100&lt;$C$15,0,IF(SUM($D$101:W101)&lt;$C$14,$C$14/$C$16,0)),0)</f>
        <v>0</v>
      </c>
    </row>
    <row r="102" spans="2:24">
      <c r="B102" s="4" t="s">
        <v>25</v>
      </c>
      <c r="D102" s="22">
        <f>IFERROR(IF(D100&lt;$C$15,0,$C$17*$C$14),0)</f>
        <v>0</v>
      </c>
      <c r="E102" s="22">
        <f>IFERROR(IF(E100&lt;$C$15,0,IF(SUM($D$101:D101)&lt;$C$14,$C$17*$C$14,0)),0)</f>
        <v>0.22499999999999998</v>
      </c>
      <c r="F102" s="22">
        <f>IF(F100&lt;$C$15,0,IF(SUM($D$101:E101)&lt;$C$14,$C$17*$C$14,0))</f>
        <v>0.22499999999999998</v>
      </c>
      <c r="G102" s="22">
        <f>IF(G100&lt;$C$15,0,IF(SUM($D$101:F101)&lt;$C$14,$C$17*$C$14,0))</f>
        <v>0.22499999999999998</v>
      </c>
      <c r="H102" s="22">
        <f>IF(H100&lt;$C$15,0,IF(SUM($D$101:G101)&lt;$C$14,$C$17*$C$14,0))</f>
        <v>0.22499999999999998</v>
      </c>
      <c r="I102" s="22">
        <f>IF(I100&lt;$C$15,0,IF(SUM($D$101:H101)&lt;$C$14,$C$17*$C$14,0))</f>
        <v>0.22499999999999998</v>
      </c>
      <c r="J102" s="22">
        <f>IF(J100&lt;$C$15,0,IF(SUM($D$101:I101)&lt;$C$14,$C$17*$C$14,0))</f>
        <v>0.22499999999999998</v>
      </c>
      <c r="K102" s="22">
        <f>IF(K100&lt;$C$15,0,IF(SUM($D$101:J101)&lt;$C$14,$C$17*$C$14,0))</f>
        <v>0.22499999999999998</v>
      </c>
      <c r="L102" s="22">
        <f>IF(L100&lt;$C$15,0,IF(SUM($D$101:K101)&lt;$C$14,$C$17*$C$14,0))</f>
        <v>0.22499999999999998</v>
      </c>
      <c r="M102" s="22">
        <f>IF(M100&lt;$C$15,0,IF(SUM($D$101:L101)&lt;$C$14,$C$17*$C$14,0))</f>
        <v>0.22499999999999998</v>
      </c>
      <c r="N102" s="22">
        <f>IF(N100&lt;$C$15,0,IF(SUM($D$101:M101)&lt;$C$14,$C$17*$C$14,0))</f>
        <v>0.22499999999999998</v>
      </c>
      <c r="O102" s="22">
        <f>IF(O100&lt;$C$15,0,IF(SUM($D$101:N101)&lt;$C$14,$C$17*$C$14,0))</f>
        <v>0</v>
      </c>
      <c r="P102" s="22">
        <f>IF(P100&lt;$C$15,0,IF(SUM($D$101:O101)&lt;$C$14,$C$17*$C$14,0))</f>
        <v>0</v>
      </c>
      <c r="Q102" s="22">
        <f>IF(Q100&lt;$C$15,0,IF(SUM($D$101:P101)&lt;$C$14,$C$17*$C$14,0))</f>
        <v>0</v>
      </c>
      <c r="R102" s="22">
        <f>IF(R100&lt;$C$15,0,IF(SUM($D$101:Q101)&lt;$C$14,$C$17*$C$14,0))</f>
        <v>0</v>
      </c>
      <c r="S102" s="22">
        <f>IF(S100&lt;$C$15,0,IF(SUM($D$101:R101)&lt;$C$14,$C$17*$C$14,0))</f>
        <v>0</v>
      </c>
      <c r="T102" s="22">
        <f>IF(T100&lt;$C$15,0,IF(SUM($D$101:S101)&lt;$C$14,$C$17*$C$14,0))</f>
        <v>0</v>
      </c>
      <c r="U102" s="22">
        <f>IF(U100&lt;$C$15,0,IF(SUM($D$101:T101)&lt;$C$14,$C$17*$C$14,0))</f>
        <v>0</v>
      </c>
      <c r="V102" s="22">
        <f>IF(V100&lt;$C$15,0,IF(SUM($D$101:U101)&lt;$C$14,$C$17*$C$14,0))</f>
        <v>0</v>
      </c>
      <c r="W102" s="22">
        <f>IF(W100&lt;$C$15,0,IF(SUM($D$101:V101)&lt;$C$14,$C$17*$C$14,0))</f>
        <v>0</v>
      </c>
      <c r="X102" s="22">
        <f>IF(X100&lt;$C$15,0,IF(SUM($D$101:W101)&lt;$C$14,$C$17*$C$14,0))</f>
        <v>0</v>
      </c>
    </row>
    <row r="103" spans="2:24"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2:24" ht="15">
      <c r="B104" s="30" t="s">
        <v>80</v>
      </c>
      <c r="C104" s="30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2:24"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</row>
    <row r="106" spans="2:24">
      <c r="B106" s="27"/>
      <c r="C106" s="27"/>
      <c r="D106" s="3">
        <f>D$21</f>
        <v>2023</v>
      </c>
      <c r="E106" s="3">
        <f>E$21</f>
        <v>2024</v>
      </c>
      <c r="F106" s="3">
        <f t="shared" ref="F106:X106" si="43">F$21</f>
        <v>2025</v>
      </c>
      <c r="G106" s="3">
        <f t="shared" si="43"/>
        <v>2026</v>
      </c>
      <c r="H106" s="3">
        <f t="shared" si="43"/>
        <v>2027</v>
      </c>
      <c r="I106" s="3">
        <f t="shared" si="43"/>
        <v>2028</v>
      </c>
      <c r="J106" s="3">
        <f t="shared" si="43"/>
        <v>2029</v>
      </c>
      <c r="K106" s="3">
        <f t="shared" si="43"/>
        <v>2030</v>
      </c>
      <c r="L106" s="3">
        <f t="shared" si="43"/>
        <v>2031</v>
      </c>
      <c r="M106" s="3">
        <f t="shared" si="43"/>
        <v>2032</v>
      </c>
      <c r="N106" s="3">
        <f t="shared" si="43"/>
        <v>2033</v>
      </c>
      <c r="O106" s="3">
        <f t="shared" si="43"/>
        <v>2034</v>
      </c>
      <c r="P106" s="3">
        <f t="shared" si="43"/>
        <v>2035</v>
      </c>
      <c r="Q106" s="3">
        <f t="shared" si="43"/>
        <v>2036</v>
      </c>
      <c r="R106" s="3">
        <f t="shared" si="43"/>
        <v>2037</v>
      </c>
      <c r="S106" s="3">
        <f t="shared" si="43"/>
        <v>2038</v>
      </c>
      <c r="T106" s="3">
        <f t="shared" si="43"/>
        <v>2039</v>
      </c>
      <c r="U106" s="3">
        <f t="shared" si="43"/>
        <v>2040</v>
      </c>
      <c r="V106" s="3">
        <f t="shared" si="43"/>
        <v>2041</v>
      </c>
      <c r="W106" s="3">
        <f t="shared" si="43"/>
        <v>2042</v>
      </c>
      <c r="X106" s="3">
        <f t="shared" si="43"/>
        <v>2043</v>
      </c>
    </row>
    <row r="107" spans="2:24">
      <c r="B107" s="4" t="s">
        <v>46</v>
      </c>
      <c r="D107" s="67"/>
      <c r="E107" s="22">
        <f t="shared" ref="E107" si="44">D108</f>
        <v>0</v>
      </c>
      <c r="F107" s="22">
        <f t="shared" ref="F107" si="45">E108</f>
        <v>0</v>
      </c>
      <c r="G107" s="22">
        <f t="shared" ref="G107" si="46">F108</f>
        <v>0</v>
      </c>
      <c r="H107" s="22">
        <f t="shared" ref="H107" si="47">G108</f>
        <v>0</v>
      </c>
      <c r="I107" s="22">
        <f t="shared" ref="I107" si="48">H108</f>
        <v>0</v>
      </c>
      <c r="J107" s="22">
        <f t="shared" ref="J107:S107" si="49">I108</f>
        <v>0</v>
      </c>
      <c r="K107" s="22">
        <f t="shared" si="49"/>
        <v>0</v>
      </c>
      <c r="L107" s="22">
        <f t="shared" si="49"/>
        <v>0</v>
      </c>
      <c r="M107" s="22">
        <f t="shared" si="49"/>
        <v>0</v>
      </c>
      <c r="N107" s="22">
        <f t="shared" si="49"/>
        <v>0</v>
      </c>
      <c r="O107" s="22">
        <f t="shared" si="49"/>
        <v>0</v>
      </c>
      <c r="P107" s="22">
        <f t="shared" si="49"/>
        <v>0</v>
      </c>
      <c r="Q107" s="22">
        <f t="shared" si="49"/>
        <v>0</v>
      </c>
      <c r="R107" s="22">
        <f t="shared" si="49"/>
        <v>0</v>
      </c>
      <c r="S107" s="22">
        <f t="shared" si="49"/>
        <v>0</v>
      </c>
      <c r="T107" s="22">
        <f t="shared" ref="T107" si="50">S108</f>
        <v>0</v>
      </c>
      <c r="U107" s="22">
        <f t="shared" ref="U107" si="51">T108</f>
        <v>0</v>
      </c>
      <c r="V107" s="22">
        <f t="shared" ref="V107" si="52">U108</f>
        <v>0</v>
      </c>
      <c r="W107" s="22">
        <f t="shared" ref="W107" si="53">V108</f>
        <v>0</v>
      </c>
      <c r="X107" s="22">
        <f t="shared" ref="X107" si="54">W108</f>
        <v>0</v>
      </c>
    </row>
    <row r="108" spans="2:24">
      <c r="B108" s="4" t="s">
        <v>47</v>
      </c>
      <c r="D108" s="67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  <row r="109" spans="2:24">
      <c r="B109" s="4" t="s">
        <v>50</v>
      </c>
      <c r="D109" s="67"/>
      <c r="E109" s="22">
        <f t="shared" ref="E109" si="55">D110</f>
        <v>0</v>
      </c>
      <c r="F109" s="22">
        <f t="shared" ref="F109" si="56">E110</f>
        <v>0</v>
      </c>
      <c r="G109" s="22">
        <f t="shared" ref="G109" si="57">F110</f>
        <v>0</v>
      </c>
      <c r="H109" s="22">
        <f t="shared" ref="H109" si="58">G110</f>
        <v>0</v>
      </c>
      <c r="I109" s="22">
        <f t="shared" ref="I109" si="59">H110</f>
        <v>0</v>
      </c>
      <c r="J109" s="22">
        <f t="shared" ref="J109" si="60">I110</f>
        <v>0</v>
      </c>
      <c r="K109" s="22">
        <f t="shared" ref="K109" si="61">J110</f>
        <v>0</v>
      </c>
      <c r="L109" s="22">
        <f t="shared" ref="L109:S109" si="62">K110</f>
        <v>0</v>
      </c>
      <c r="M109" s="22">
        <f t="shared" si="62"/>
        <v>0</v>
      </c>
      <c r="N109" s="22">
        <f t="shared" si="62"/>
        <v>0</v>
      </c>
      <c r="O109" s="22">
        <f t="shared" si="62"/>
        <v>0</v>
      </c>
      <c r="P109" s="22">
        <f t="shared" si="62"/>
        <v>0</v>
      </c>
      <c r="Q109" s="22">
        <f t="shared" si="62"/>
        <v>0</v>
      </c>
      <c r="R109" s="22">
        <f t="shared" si="62"/>
        <v>0</v>
      </c>
      <c r="S109" s="22">
        <f t="shared" si="62"/>
        <v>0</v>
      </c>
      <c r="T109" s="22">
        <f t="shared" ref="T109" si="63">S110</f>
        <v>0</v>
      </c>
      <c r="U109" s="22">
        <f t="shared" ref="U109" si="64">T110</f>
        <v>0</v>
      </c>
      <c r="V109" s="22">
        <f t="shared" ref="V109" si="65">U110</f>
        <v>0</v>
      </c>
      <c r="W109" s="22">
        <f t="shared" ref="W109" si="66">V110</f>
        <v>0</v>
      </c>
      <c r="X109" s="22">
        <f t="shared" ref="X109" si="67">W110</f>
        <v>0</v>
      </c>
    </row>
    <row r="110" spans="2:24">
      <c r="B110" s="4" t="s">
        <v>48</v>
      </c>
      <c r="D110" s="67"/>
      <c r="E110" s="69"/>
      <c r="F110" s="70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2:24">
      <c r="B111" s="4" t="s">
        <v>51</v>
      </c>
      <c r="D111" s="67"/>
      <c r="E111" s="22">
        <f t="shared" ref="E111" si="68">D112</f>
        <v>0</v>
      </c>
      <c r="F111" s="22">
        <f t="shared" ref="F111" si="69">E112</f>
        <v>0</v>
      </c>
      <c r="G111" s="22">
        <f t="shared" ref="G111" si="70">F112</f>
        <v>0</v>
      </c>
      <c r="H111" s="22">
        <f t="shared" ref="H111" si="71">G112</f>
        <v>0</v>
      </c>
      <c r="I111" s="22">
        <f t="shared" ref="I111" si="72">H112</f>
        <v>0</v>
      </c>
      <c r="J111" s="22">
        <f t="shared" ref="J111" si="73">I112</f>
        <v>0</v>
      </c>
      <c r="K111" s="22">
        <f t="shared" ref="K111" si="74">J112</f>
        <v>0</v>
      </c>
      <c r="L111" s="22">
        <f t="shared" ref="L111:S111" si="75">K112</f>
        <v>0</v>
      </c>
      <c r="M111" s="22">
        <f t="shared" si="75"/>
        <v>0</v>
      </c>
      <c r="N111" s="22">
        <f t="shared" si="75"/>
        <v>0</v>
      </c>
      <c r="O111" s="22">
        <f t="shared" si="75"/>
        <v>0</v>
      </c>
      <c r="P111" s="22">
        <f t="shared" si="75"/>
        <v>0</v>
      </c>
      <c r="Q111" s="22">
        <f t="shared" si="75"/>
        <v>0</v>
      </c>
      <c r="R111" s="22">
        <f t="shared" si="75"/>
        <v>0</v>
      </c>
      <c r="S111" s="22">
        <f t="shared" si="75"/>
        <v>0</v>
      </c>
      <c r="T111" s="22">
        <f t="shared" ref="T111" si="76">S112</f>
        <v>0</v>
      </c>
      <c r="U111" s="22">
        <f t="shared" ref="U111" si="77">T112</f>
        <v>0</v>
      </c>
      <c r="V111" s="22">
        <f t="shared" ref="V111" si="78">U112</f>
        <v>0</v>
      </c>
      <c r="W111" s="22">
        <f t="shared" ref="W111" si="79">V112</f>
        <v>0</v>
      </c>
      <c r="X111" s="22">
        <f t="shared" ref="X111" si="80">W112</f>
        <v>0</v>
      </c>
    </row>
    <row r="112" spans="2:24">
      <c r="B112" s="27" t="s">
        <v>49</v>
      </c>
      <c r="C112" s="27"/>
      <c r="D112" s="68"/>
      <c r="E112" s="68"/>
      <c r="F112" s="68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pans="2:27">
      <c r="B113" s="4" t="s">
        <v>52</v>
      </c>
      <c r="D113" s="4">
        <v>0</v>
      </c>
      <c r="E113" s="22">
        <v>1.1310708105692732E-2</v>
      </c>
      <c r="F113" s="22">
        <v>5.3178008625886938E-2</v>
      </c>
      <c r="G113" s="22">
        <v>2.7921543051176331E-2</v>
      </c>
      <c r="H113" s="79">
        <v>3.8057475700901784E-5</v>
      </c>
      <c r="I113" s="79">
        <v>7.7499824561403511E-3</v>
      </c>
      <c r="J113" s="79">
        <v>8.8245612732558171E-3</v>
      </c>
      <c r="K113" s="79">
        <v>9.9389504878959582E-3</v>
      </c>
      <c r="L113" s="79">
        <v>1.1000301871957547E-2</v>
      </c>
      <c r="M113" s="79">
        <v>1.2139571391037558E-2</v>
      </c>
      <c r="N113" s="79">
        <v>1.3215290788069552E-2</v>
      </c>
      <c r="O113" s="79">
        <v>1.4268935529825144E-2</v>
      </c>
      <c r="P113" s="22">
        <v>1.5409471739141299E-2</v>
      </c>
      <c r="Q113" s="22">
        <v>1.6440579467950484E-2</v>
      </c>
      <c r="R113" s="22">
        <v>1.7543124677498113E-2</v>
      </c>
      <c r="S113" s="22">
        <v>1.8681995079770267E-2</v>
      </c>
      <c r="T113" s="22">
        <v>1.9830821446447131E-2</v>
      </c>
      <c r="U113" s="22">
        <v>2.0901042219821555E-2</v>
      </c>
      <c r="V113" s="22">
        <v>2.1962234255874694E-2</v>
      </c>
      <c r="W113" s="22">
        <v>2.3029246702907472E-2</v>
      </c>
      <c r="X113" s="22">
        <v>2.4149944008834003E-2</v>
      </c>
    </row>
    <row r="114" spans="2:27"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2:27" ht="15">
      <c r="B115" s="30" t="s">
        <v>81</v>
      </c>
      <c r="C115" s="30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Z115" s="30" t="s">
        <v>54</v>
      </c>
      <c r="AA115" s="30"/>
    </row>
    <row r="116" spans="2:27" ht="8.25" customHeight="1"/>
    <row r="117" spans="2:27">
      <c r="B117" s="27"/>
      <c r="C117" s="27"/>
      <c r="D117" s="3">
        <f>D$21</f>
        <v>2023</v>
      </c>
      <c r="E117" s="3">
        <f>E$21</f>
        <v>2024</v>
      </c>
      <c r="F117" s="3">
        <f t="shared" ref="F117:X117" si="81">F$21</f>
        <v>2025</v>
      </c>
      <c r="G117" s="3">
        <f t="shared" si="81"/>
        <v>2026</v>
      </c>
      <c r="H117" s="3">
        <f t="shared" si="81"/>
        <v>2027</v>
      </c>
      <c r="I117" s="3">
        <f t="shared" si="81"/>
        <v>2028</v>
      </c>
      <c r="J117" s="3">
        <f t="shared" si="81"/>
        <v>2029</v>
      </c>
      <c r="K117" s="3">
        <f t="shared" si="81"/>
        <v>2030</v>
      </c>
      <c r="L117" s="3">
        <f t="shared" si="81"/>
        <v>2031</v>
      </c>
      <c r="M117" s="3">
        <f t="shared" si="81"/>
        <v>2032</v>
      </c>
      <c r="N117" s="3">
        <f t="shared" si="81"/>
        <v>2033</v>
      </c>
      <c r="O117" s="3">
        <f t="shared" si="81"/>
        <v>2034</v>
      </c>
      <c r="P117" s="3">
        <f t="shared" si="81"/>
        <v>2035</v>
      </c>
      <c r="Q117" s="3">
        <f t="shared" si="81"/>
        <v>2036</v>
      </c>
      <c r="R117" s="3">
        <f t="shared" si="81"/>
        <v>2037</v>
      </c>
      <c r="S117" s="3">
        <f t="shared" si="81"/>
        <v>2038</v>
      </c>
      <c r="T117" s="3">
        <f t="shared" si="81"/>
        <v>2039</v>
      </c>
      <c r="U117" s="3">
        <f t="shared" si="81"/>
        <v>2040</v>
      </c>
      <c r="V117" s="3">
        <f t="shared" si="81"/>
        <v>2041</v>
      </c>
      <c r="W117" s="3">
        <f t="shared" si="81"/>
        <v>2042</v>
      </c>
      <c r="X117" s="3">
        <f t="shared" si="81"/>
        <v>2043</v>
      </c>
      <c r="Y117" s="3"/>
      <c r="Z117" s="27"/>
      <c r="AA117" s="3">
        <f>AA21</f>
        <v>2043</v>
      </c>
    </row>
    <row r="118" spans="2:27">
      <c r="B118" s="4" t="s">
        <v>26</v>
      </c>
      <c r="D118" s="71">
        <f t="shared" ref="D118:X118" si="82">D95+D29+D48-(D24+D113+D101)</f>
        <v>0</v>
      </c>
      <c r="E118" s="71">
        <f t="shared" si="82"/>
        <v>-2.1031688607717816</v>
      </c>
      <c r="F118" s="71">
        <f t="shared" si="82"/>
        <v>-3.275216872326518</v>
      </c>
      <c r="G118" s="71">
        <f t="shared" si="82"/>
        <v>-3.1353328177952022</v>
      </c>
      <c r="H118" s="71">
        <f t="shared" si="82"/>
        <v>-3.3426179150635194</v>
      </c>
      <c r="I118" s="71">
        <f t="shared" si="82"/>
        <v>-3.498668591175246</v>
      </c>
      <c r="J118" s="71">
        <f t="shared" si="82"/>
        <v>-3.6489650801451647</v>
      </c>
      <c r="K118" s="71">
        <f t="shared" si="82"/>
        <v>-3.6409049889110596</v>
      </c>
      <c r="L118" s="71">
        <f t="shared" si="82"/>
        <v>-2.8781589007833421</v>
      </c>
      <c r="M118" s="71">
        <f t="shared" si="82"/>
        <v>-3.1446349996204148</v>
      </c>
      <c r="N118" s="71">
        <f t="shared" si="82"/>
        <v>-3.4089581178424204</v>
      </c>
      <c r="O118" s="71">
        <f t="shared" si="82"/>
        <v>-2.7640821077360105</v>
      </c>
      <c r="P118" s="71">
        <f t="shared" si="82"/>
        <v>-3.0676653104273783</v>
      </c>
      <c r="Q118" s="71">
        <f t="shared" si="82"/>
        <v>-3.4143087405406081</v>
      </c>
      <c r="R118" s="71">
        <f t="shared" si="82"/>
        <v>-3.7783900837560958</v>
      </c>
      <c r="S118" s="71">
        <f t="shared" si="82"/>
        <v>-4.0826942718619854</v>
      </c>
      <c r="T118" s="71">
        <f t="shared" si="82"/>
        <v>-4.3370453419272241</v>
      </c>
      <c r="U118" s="71">
        <f t="shared" si="82"/>
        <v>-4.6236361037096758</v>
      </c>
      <c r="V118" s="71">
        <f t="shared" si="82"/>
        <v>-4.936736481817074</v>
      </c>
      <c r="W118" s="71">
        <f t="shared" si="82"/>
        <v>-5.2136399523324917</v>
      </c>
      <c r="X118" s="71">
        <f t="shared" si="82"/>
        <v>-5.5068558326864272</v>
      </c>
      <c r="Z118" s="4" t="s">
        <v>58</v>
      </c>
      <c r="AA118" s="4">
        <f>AA22+AA23</f>
        <v>6.3749999999999862E-2</v>
      </c>
    </row>
    <row r="119" spans="2:27">
      <c r="B119" s="4" t="s">
        <v>27</v>
      </c>
      <c r="D119" s="4">
        <f>D118</f>
        <v>0</v>
      </c>
      <c r="E119" s="22">
        <f t="shared" ref="E119:S119" si="83">IFERROR(E118/((1+$C$17)^(E117-$C$9)),0)</f>
        <v>-2.0419115153124094</v>
      </c>
      <c r="F119" s="22">
        <f t="shared" si="83"/>
        <v>-3.087206025380826</v>
      </c>
      <c r="G119" s="22">
        <f t="shared" si="83"/>
        <v>-2.8692736775015191</v>
      </c>
      <c r="H119" s="22">
        <f t="shared" si="83"/>
        <v>-2.9698727236648814</v>
      </c>
      <c r="I119" s="22">
        <f t="shared" si="83"/>
        <v>-3.0179822603967348</v>
      </c>
      <c r="J119" s="22">
        <f t="shared" si="83"/>
        <v>-3.0559508078099848</v>
      </c>
      <c r="K119" s="22">
        <f t="shared" si="83"/>
        <v>-2.9603889400912502</v>
      </c>
      <c r="L119" s="22">
        <f t="shared" si="83"/>
        <v>-2.2720452141012171</v>
      </c>
      <c r="M119" s="22">
        <f t="shared" si="83"/>
        <v>-2.4101008808224811</v>
      </c>
      <c r="N119" s="22">
        <f t="shared" si="83"/>
        <v>-2.5365849916243386</v>
      </c>
      <c r="O119" s="22">
        <f t="shared" si="83"/>
        <v>-1.9968317248944463</v>
      </c>
      <c r="P119" s="22">
        <f t="shared" si="83"/>
        <v>-2.1515987278996946</v>
      </c>
      <c r="Q119" s="22">
        <f t="shared" si="83"/>
        <v>-2.3249781120215465</v>
      </c>
      <c r="R119" s="22">
        <f t="shared" si="83"/>
        <v>-2.497960961699659</v>
      </c>
      <c r="S119" s="22">
        <f t="shared" si="83"/>
        <v>-2.6205260959627581</v>
      </c>
      <c r="T119" s="22">
        <f t="shared" ref="T119:X119" si="84">IFERROR(T118/((1+$C$17)^(T117-$C$9)),0)</f>
        <v>-2.7027032709876426</v>
      </c>
      <c r="U119" s="22">
        <f t="shared" si="84"/>
        <v>-2.7973758823459942</v>
      </c>
      <c r="V119" s="22">
        <f t="shared" si="84"/>
        <v>-2.8998123886419283</v>
      </c>
      <c r="W119" s="22">
        <f t="shared" si="84"/>
        <v>-2.9732660136436109</v>
      </c>
      <c r="X119" s="22">
        <f t="shared" si="84"/>
        <v>-3.049012556358075</v>
      </c>
      <c r="Z119" s="4" t="s">
        <v>57</v>
      </c>
      <c r="AA119" s="22">
        <f>IFERROR(AA118/((1+$C$17)^(AA117-$C$9)),0)</f>
        <v>3.5296829329378776E-2</v>
      </c>
    </row>
    <row r="120" spans="2:27">
      <c r="B120" s="4" t="s">
        <v>39</v>
      </c>
      <c r="D120" s="4">
        <f>D119</f>
        <v>0</v>
      </c>
      <c r="E120" s="22">
        <f>IFERROR(E118/((1+#REF!)^(E117-$C$9)),0)</f>
        <v>0</v>
      </c>
      <c r="F120" s="22">
        <f>IFERROR(F118/((1+#REF!)^(F117-$C$9)),0)</f>
        <v>0</v>
      </c>
      <c r="G120" s="22">
        <f>IFERROR(G118/((1+#REF!)^(G117-$C$9)),0)</f>
        <v>0</v>
      </c>
      <c r="H120" s="22">
        <f>IFERROR(H118/((1+#REF!)^(H117-$C$9)),0)</f>
        <v>0</v>
      </c>
      <c r="I120" s="22">
        <f>IFERROR(I118/((1+#REF!)^(I117-$C$9)),0)</f>
        <v>0</v>
      </c>
      <c r="J120" s="22">
        <f>IFERROR(J118/((1+#REF!)^(J117-$C$9)),0)</f>
        <v>0</v>
      </c>
      <c r="K120" s="22">
        <f>IFERROR(K118/((1+#REF!)^(K117-$C$9)),0)</f>
        <v>0</v>
      </c>
      <c r="L120" s="22">
        <f>IFERROR(L118/((1+#REF!)^(L117-$C$9)),0)</f>
        <v>0</v>
      </c>
      <c r="M120" s="22">
        <f>IFERROR(M118/((1+#REF!)^(M117-$C$9)),0)</f>
        <v>0</v>
      </c>
      <c r="N120" s="22">
        <f>IFERROR(N118/((1+#REF!)^(N117-$C$9)),0)</f>
        <v>0</v>
      </c>
      <c r="O120" s="22">
        <f>IFERROR(O118/((1+#REF!)^(O117-$C$9)),0)</f>
        <v>0</v>
      </c>
      <c r="P120" s="22">
        <f>IFERROR(P118/((1+#REF!)^(P117-$C$9)),0)</f>
        <v>0</v>
      </c>
      <c r="Q120" s="22">
        <f>IFERROR(Q118/((1+#REF!)^(Q117-$C$9)),0)</f>
        <v>0</v>
      </c>
      <c r="R120" s="22">
        <f>IFERROR(R118/((1+#REF!)^(R117-$C$9)),0)</f>
        <v>0</v>
      </c>
      <c r="S120" s="22">
        <f>IFERROR(S118/((1+#REF!)^(S117-$C$9)),0)</f>
        <v>0</v>
      </c>
      <c r="T120" s="22">
        <f>IFERROR(T118/((1+#REF!)^(T117-$C$9)),0)</f>
        <v>0</v>
      </c>
      <c r="U120" s="22">
        <f>IFERROR(U118/((1+#REF!)^(U117-$C$9)),0)</f>
        <v>0</v>
      </c>
      <c r="V120" s="22">
        <f>IFERROR(V118/((1+#REF!)^(V117-$C$9)),0)</f>
        <v>0</v>
      </c>
      <c r="W120" s="22">
        <f>IFERROR(W118/((1+#REF!)^(W117-$C$9)),0)</f>
        <v>0</v>
      </c>
      <c r="X120" s="22">
        <f>IFERROR(X118/((1+#REF!)^(X117-$C$9)),0)</f>
        <v>0</v>
      </c>
      <c r="Z120" s="4" t="s">
        <v>59</v>
      </c>
      <c r="AA120" s="22">
        <f>IFERROR(AA118/((1+#REF!)^(AA117-$C$9)),0)</f>
        <v>0</v>
      </c>
    </row>
    <row r="122" spans="2:27">
      <c r="B122" s="4" t="s">
        <v>29</v>
      </c>
      <c r="D122" s="22">
        <f>SUM($D$119:D119)</f>
        <v>0</v>
      </c>
      <c r="E122" s="22">
        <f>SUM($D$119:E119)</f>
        <v>-2.0419115153124094</v>
      </c>
      <c r="F122" s="22">
        <f>SUM($D$119:F119)</f>
        <v>-5.129117540693235</v>
      </c>
      <c r="G122" s="22">
        <f>SUM($D$119:G119)</f>
        <v>-7.9983912181947545</v>
      </c>
      <c r="H122" s="22">
        <f>SUM($D$119:H119)</f>
        <v>-10.968263941859636</v>
      </c>
      <c r="I122" s="22">
        <f>SUM($D$119:I119)</f>
        <v>-13.986246202256371</v>
      </c>
      <c r="J122" s="22">
        <f>SUM($D$119:J119)</f>
        <v>-17.042197010066356</v>
      </c>
      <c r="K122" s="22">
        <f>SUM($D$119:K119)</f>
        <v>-20.002585950157606</v>
      </c>
      <c r="L122" s="22">
        <f>SUM($D$119:L119)</f>
        <v>-22.274631164258821</v>
      </c>
      <c r="M122" s="22">
        <f>SUM($D$119:M119)</f>
        <v>-24.684732045081301</v>
      </c>
      <c r="N122" s="22">
        <f>SUM($D$119:N119)</f>
        <v>-27.221317036705639</v>
      </c>
      <c r="O122" s="22">
        <f>SUM($D$119:O119)</f>
        <v>-29.218148761600084</v>
      </c>
      <c r="P122" s="22">
        <f>SUM($D$119:P119)</f>
        <v>-31.36974748949978</v>
      </c>
      <c r="Q122" s="22">
        <f>SUM($D$119:Q119)</f>
        <v>-33.694725601521327</v>
      </c>
      <c r="R122" s="22">
        <f>SUM($D$119:R119)</f>
        <v>-36.192686563220988</v>
      </c>
      <c r="S122" s="22">
        <f>SUM($D$119:S119)</f>
        <v>-38.813212659183748</v>
      </c>
      <c r="T122" s="22">
        <f>SUM($D$119:T119)</f>
        <v>-41.515915930171388</v>
      </c>
      <c r="U122" s="22">
        <f>SUM($D$119:U119)</f>
        <v>-44.313291812517384</v>
      </c>
      <c r="V122" s="22">
        <f>SUM($D$119:V119)</f>
        <v>-47.213104201159311</v>
      </c>
      <c r="W122" s="22">
        <f>SUM($D$119:W119)</f>
        <v>-50.18637021480292</v>
      </c>
      <c r="X122" s="22">
        <f>SUM($D$119:X119)</f>
        <v>-53.235382771160992</v>
      </c>
    </row>
    <row r="123" spans="2:27">
      <c r="B123" s="25" t="s">
        <v>30</v>
      </c>
      <c r="C123" s="25"/>
      <c r="D123" s="9">
        <f>IF(D122&gt;0,D117,0)</f>
        <v>0</v>
      </c>
      <c r="E123" s="9">
        <f>IF(SUM($D$123:D123)&gt;0,0,IF(E122&gt;0,E117,0))</f>
        <v>0</v>
      </c>
      <c r="F123" s="9">
        <f>IF(SUM($D$123:E123)&gt;0,0,IF(F122&gt;0,F117,0))</f>
        <v>0</v>
      </c>
      <c r="G123" s="9">
        <f>IF(SUM($D$123:F123)&gt;0,0,IF(G122&gt;0,G117,0))</f>
        <v>0</v>
      </c>
      <c r="H123" s="9">
        <f>IF(SUM($D$123:G123)&gt;0,0,IF(H122&gt;0,H117,0))</f>
        <v>0</v>
      </c>
      <c r="I123" s="9">
        <f>IF(SUM($D$123:H123)&gt;0,0,IF(I122&gt;0,I117,0))</f>
        <v>0</v>
      </c>
      <c r="J123" s="9">
        <f>IF(SUM($D$123:I123)&gt;0,0,IF(J122&gt;0,J117,0))</f>
        <v>0</v>
      </c>
      <c r="K123" s="9">
        <f>IF(SUM($D$123:J123)&gt;0,0,IF(K122&gt;0,K117,0))</f>
        <v>0</v>
      </c>
      <c r="L123" s="9">
        <f>IF(SUM($D$123:K123)&gt;0,0,IF(L122&gt;0,L117,0))</f>
        <v>0</v>
      </c>
      <c r="M123" s="9">
        <f>IF(SUM($D$123:L123)&gt;0,0,IF(M122&gt;0,M117,0))</f>
        <v>0</v>
      </c>
      <c r="N123" s="9">
        <f>IF(SUM($D$123:M123)&gt;0,0,IF(N122&gt;0,N117,0))</f>
        <v>0</v>
      </c>
      <c r="O123" s="9">
        <f>IF(SUM($D$123:N123)&gt;0,0,IF(O122&gt;0,O117,0))</f>
        <v>0</v>
      </c>
      <c r="P123" s="9">
        <f>IF(SUM($D$123:O123)&gt;0,0,IF(P122&gt;0,P117,0))</f>
        <v>0</v>
      </c>
      <c r="Q123" s="9">
        <f>IF(SUM($D$123:P123)&gt;0,0,IF(Q122&gt;0,Q117,0))</f>
        <v>0</v>
      </c>
      <c r="R123" s="9">
        <f>IF(SUM($D$123:Q123)&gt;0,0,IF(R122&gt;0,R117,0))</f>
        <v>0</v>
      </c>
      <c r="S123" s="9">
        <f>IF(SUM($D$123:R123)&gt;0,0,IF(S122&gt;0,S117,0))</f>
        <v>0</v>
      </c>
      <c r="T123" s="9">
        <f>IF(SUM($D$123:S123)&gt;0,0,IF(T122&gt;0,T117,0))</f>
        <v>0</v>
      </c>
      <c r="U123" s="9">
        <f>IF(SUM($D$123:T123)&gt;0,0,IF(U122&gt;0,U117,0))</f>
        <v>0</v>
      </c>
      <c r="V123" s="9">
        <f>IF(SUM($D$123:U123)&gt;0,0,IF(V122&gt;0,V117,0))</f>
        <v>0</v>
      </c>
      <c r="W123" s="9">
        <f>IF(SUM($D$123:V123)&gt;0,0,IF(W122&gt;0,W117,0))</f>
        <v>0</v>
      </c>
      <c r="X123" s="9">
        <f>IF(SUM($D$123:W123)&gt;0,0,IF(X122&gt;0,X117,0))</f>
        <v>0</v>
      </c>
    </row>
    <row r="126" spans="2:27">
      <c r="C126" s="22"/>
    </row>
    <row r="129" spans="14:14">
      <c r="N129" s="7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B1:T28"/>
  <sheetViews>
    <sheetView showGridLines="0" zoomScaleNormal="100" workbookViewId="0">
      <selection activeCell="G10" sqref="G10"/>
    </sheetView>
  </sheetViews>
  <sheetFormatPr baseColWidth="10" defaultColWidth="11.42578125" defaultRowHeight="14.25" outlineLevelRow="1"/>
  <cols>
    <col min="1" max="1" width="11.42578125" style="4"/>
    <col min="2" max="2" width="65.85546875" style="4" customWidth="1"/>
    <col min="3" max="3" width="17.140625" style="4" bestFit="1" customWidth="1"/>
    <col min="4" max="4" width="12.42578125" style="4" customWidth="1"/>
    <col min="5" max="20" width="11.42578125" style="4" customWidth="1"/>
    <col min="21" max="21" width="3.85546875" style="4" customWidth="1"/>
    <col min="22" max="22" width="43" style="4" customWidth="1"/>
    <col min="23" max="23" width="12.5703125" style="4" customWidth="1"/>
    <col min="24" max="16384" width="11.42578125" style="4"/>
  </cols>
  <sheetData>
    <row r="1" spans="2:20">
      <c r="B1" s="19"/>
    </row>
    <row r="2" spans="2:20" ht="25.5">
      <c r="B2" s="29" t="s">
        <v>64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2:20">
      <c r="B3" s="19"/>
    </row>
    <row r="4" spans="2:20" ht="15">
      <c r="B4" s="30" t="s">
        <v>66</v>
      </c>
      <c r="C4" s="30"/>
    </row>
    <row r="5" spans="2:20" ht="8.25" customHeight="1"/>
    <row r="6" spans="2:20">
      <c r="B6" s="5" t="s">
        <v>38</v>
      </c>
      <c r="C6" s="34">
        <f>IFERROR(IRR(Factuel!D127:AA127),0)</f>
        <v>0</v>
      </c>
    </row>
    <row r="7" spans="2:20">
      <c r="B7" s="40" t="s">
        <v>53</v>
      </c>
      <c r="C7" s="41">
        <f>SUM(Factuel!D128:AA128)</f>
        <v>-220.12199490468794</v>
      </c>
    </row>
    <row r="8" spans="2:20" ht="15">
      <c r="B8" s="7" t="s">
        <v>42</v>
      </c>
      <c r="C8" s="35">
        <f>IF((-SUM(Factuel!D129:AA129)/(1-'RESERVE ADMIN Calcul aide'!C22)-Factuel!C22-C1*1)&gt;0,(-SUM(Factuel!D129:AA129)/(1-'RESERVE ADMIN Calcul aide'!C22)-Factuel!C22-C11),0)</f>
        <v>0</v>
      </c>
    </row>
    <row r="9" spans="2:20" outlineLevel="1">
      <c r="B9" s="49" t="s">
        <v>69</v>
      </c>
      <c r="C9" s="52">
        <f>IFERROR(C8*(1-$C$22),0)</f>
        <v>0</v>
      </c>
    </row>
    <row r="10" spans="2:20" outlineLevel="1">
      <c r="B10" s="49"/>
      <c r="C10" s="52"/>
    </row>
    <row r="11" spans="2:20" outlineLevel="1">
      <c r="B11" s="50" t="s">
        <v>82</v>
      </c>
      <c r="C11" s="52">
        <f>IFERROR(C10*($C$21-Factuel!$C$21)*($C$20-Factuel!$C$25),0)</f>
        <v>0</v>
      </c>
    </row>
    <row r="12" spans="2:20">
      <c r="B12" s="13"/>
      <c r="C12" s="36"/>
    </row>
    <row r="13" spans="2:20">
      <c r="B13" s="13" t="s">
        <v>31</v>
      </c>
      <c r="C13" s="15">
        <f>IF(SUM(Factuel!D132:X132)=0,0,SUM(Factuel!D132:X132)-Factuel!C9)</f>
        <v>0</v>
      </c>
    </row>
    <row r="14" spans="2:20" ht="15">
      <c r="B14" s="7" t="s">
        <v>43</v>
      </c>
      <c r="C14" s="48">
        <f>IFERROR(IF((IF(C13&lt;Factuel!C15,0,(-INDEX(Factuel!D131:X131,1,MATCH(Factuel!$C$9+Factuel!$C$15,Factuel!$D$126:$X$126)))/(1-'RESERVE ADMIN Calcul aide'!C22)))-Factuel!C22-C17&gt;0,IF(C13&lt;Factuel!C15,0,(-INDEX(Factuel!D131:X131,1,MATCH(Factuel!$C$9+Factuel!$C$15,Factuel!$D$126:$X$126)))/(1-'RESERVE ADMIN Calcul aide'!C22))-Factuel!C22-C17,0),0)</f>
        <v>0</v>
      </c>
    </row>
    <row r="15" spans="2:20" outlineLevel="1">
      <c r="B15" s="49" t="s">
        <v>69</v>
      </c>
      <c r="C15" s="52">
        <f>IFERROR(C14*(1-$C$22),0)</f>
        <v>0</v>
      </c>
    </row>
    <row r="16" spans="2:20" outlineLevel="1">
      <c r="B16" s="49"/>
      <c r="C16" s="52"/>
    </row>
    <row r="17" spans="2:3" outlineLevel="1">
      <c r="B17" s="50" t="s">
        <v>83</v>
      </c>
      <c r="C17" s="52">
        <f>IFERROR(C16*($C$21-Factuel!$C$21)*($C$20-Factuel!$C$25),0)</f>
        <v>0</v>
      </c>
    </row>
    <row r="18" spans="2:3">
      <c r="B18" s="1"/>
      <c r="C18" s="1"/>
    </row>
    <row r="19" spans="2:3">
      <c r="B19" s="21" t="s">
        <v>70</v>
      </c>
      <c r="C19" s="27"/>
    </row>
    <row r="20" spans="2:3">
      <c r="B20" s="4" t="s">
        <v>71</v>
      </c>
      <c r="C20" s="14">
        <v>2024</v>
      </c>
    </row>
    <row r="21" spans="2:3">
      <c r="B21" s="4" t="s">
        <v>72</v>
      </c>
      <c r="C21" s="51">
        <v>4.6879999999999998E-2</v>
      </c>
    </row>
    <row r="22" spans="2:3">
      <c r="B22" s="37"/>
      <c r="C22" s="16"/>
    </row>
    <row r="23" spans="2:3">
      <c r="B23" s="37"/>
      <c r="C23" s="38"/>
    </row>
    <row r="24" spans="2:3" ht="15">
      <c r="B24" s="30" t="s">
        <v>65</v>
      </c>
      <c r="C24" s="30"/>
    </row>
    <row r="25" spans="2:3" ht="6.75" customHeight="1"/>
    <row r="26" spans="2:3">
      <c r="B26" s="5" t="s">
        <v>38</v>
      </c>
      <c r="C26" s="34" t="str">
        <f>IFERROR(IRR(Contrefactuel!D118:AA118),"-")</f>
        <v>-</v>
      </c>
    </row>
    <row r="27" spans="2:3">
      <c r="B27" s="40" t="s">
        <v>53</v>
      </c>
      <c r="C27" s="41">
        <f>SUM(Contrefactuel!D119:AA119)</f>
        <v>-53.200085941831617</v>
      </c>
    </row>
    <row r="28" spans="2:3">
      <c r="B28" s="42" t="s">
        <v>31</v>
      </c>
      <c r="C28" s="43" t="str">
        <f>IF(SUM(Contrefactuel!D123:X123)=0,"-",SUM(Contrefactuel!D123:X123)-Contrefactuel!C9)</f>
        <v>-</v>
      </c>
    </row>
  </sheetData>
  <sheetProtection formatCells="0" formatColumns="0" formatRows="0" insertColumns="0" insertRows="0" insertHyperlinks="0" deleteColumns="0" deleteRow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29f821-48ef-4ba3-bebf-4065241349e8" xsi:nil="true"/>
    <lcf76f155ced4ddcb4097134ff3c332f xmlns="bdb5c9ea-e4ed-4cc7-a536-93b5f4949627">
      <Terms xmlns="http://schemas.microsoft.com/office/infopath/2007/PartnerControls"/>
    </lcf76f155ced4ddcb4097134ff3c332f>
    <_Flow_SignoffStatus xmlns="bdb5c9ea-e4ed-4cc7-a536-93b5f494962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DF99CA935C084F98A3B9E4E8309845" ma:contentTypeVersion="19" ma:contentTypeDescription="Crée un document." ma:contentTypeScope="" ma:versionID="d66b4c69c5b39e0b879995c8b09733a8">
  <xsd:schema xmlns:xsd="http://www.w3.org/2001/XMLSchema" xmlns:xs="http://www.w3.org/2001/XMLSchema" xmlns:p="http://schemas.microsoft.com/office/2006/metadata/properties" xmlns:ns2="5729f821-48ef-4ba3-bebf-4065241349e8" xmlns:ns3="bdb5c9ea-e4ed-4cc7-a536-93b5f4949627" targetNamespace="http://schemas.microsoft.com/office/2006/metadata/properties" ma:root="true" ma:fieldsID="ed3716ee8391f9da859abaa5064f1dcd" ns2:_="" ns3:_="">
    <xsd:import namespace="5729f821-48ef-4ba3-bebf-4065241349e8"/>
    <xsd:import namespace="bdb5c9ea-e4ed-4cc7-a536-93b5f494962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_Flow_SignoffStatu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9f821-48ef-4ba3-bebf-406524134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1ee65d1-6bfd-4e8f-8b3f-367ce1345b73}" ma:internalName="TaxCatchAll" ma:showField="CatchAllData" ma:web="5729f821-48ef-4ba3-bebf-4065241349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5c9ea-e4ed-4cc7-a536-93b5f49496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État de validation" ma:internalName="_x00c9_tat_x0020_de_x0020_validation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75009672-f31a-4c6b-8fb3-b6de08a294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BFC5E9-1C50-44A3-BD5D-A14914685AAA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bdb5c9ea-e4ed-4cc7-a536-93b5f4949627"/>
    <ds:schemaRef ds:uri="5729f821-48ef-4ba3-bebf-4065241349e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C0C459-B194-410F-942F-FF040A017A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29f821-48ef-4ba3-bebf-4065241349e8"/>
    <ds:schemaRef ds:uri="bdb5c9ea-e4ed-4cc7-a536-93b5f49496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86190A-3A9F-4B9C-B6C8-582C61A5DB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Factuel</vt:lpstr>
      <vt:lpstr>Contrefactuel</vt:lpstr>
      <vt:lpstr>RESERVE ADMIN Calcul aide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Aurelien DE LA NOUE</dc:creator>
  <cp:lastModifiedBy>Anne-Chloé GARESSE</cp:lastModifiedBy>
  <dcterms:created xsi:type="dcterms:W3CDTF">2024-06-18T18:38:03Z</dcterms:created>
  <dcterms:modified xsi:type="dcterms:W3CDTF">2025-08-07T16:16:36Z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0x0101005EDF99CA935C084F98A3B9E4E8309845</vt:lpwstr>
  </property>
  <property fmtid="{D5CDD505-2E9C-101B-9397-08002B2CF9AE}" pid="3" name="MediaServiceImageTags">
    <vt:lpwstr/>
  </property>
  <property fmtid="{D5CDD505-2E9C-101B-9397-08002B2CF9AE}" pid="4" name="MSIP_Label_26615553-48f4-466c-a66f-a3bb9a6459c5_Enabled">
    <vt:lpwstr>true</vt:lpwstr>
  </property>
  <property fmtid="{D5CDD505-2E9C-101B-9397-08002B2CF9AE}" pid="5" name="MSIP_Label_26615553-48f4-466c-a66f-a3bb9a6459c5_SetDate">
    <vt:lpwstr>2024-10-07T08:14:24Z</vt:lpwstr>
  </property>
  <property fmtid="{D5CDD505-2E9C-101B-9397-08002B2CF9AE}" pid="6" name="MSIP_Label_26615553-48f4-466c-a66f-a3bb9a6459c5_Method">
    <vt:lpwstr>Standard</vt:lpwstr>
  </property>
  <property fmtid="{D5CDD505-2E9C-101B-9397-08002B2CF9AE}" pid="7" name="MSIP_Label_26615553-48f4-466c-a66f-a3bb9a6459c5_Name">
    <vt:lpwstr>C1 - Interne</vt:lpwstr>
  </property>
  <property fmtid="{D5CDD505-2E9C-101B-9397-08002B2CF9AE}" pid="8" name="MSIP_Label_26615553-48f4-466c-a66f-a3bb9a6459c5_SiteId">
    <vt:lpwstr>1fbeb981-82a8-4cd1-8a51-a83806530676</vt:lpwstr>
  </property>
  <property fmtid="{D5CDD505-2E9C-101B-9397-08002B2CF9AE}" pid="9" name="MSIP_Label_26615553-48f4-466c-a66f-a3bb9a6459c5_ActionId">
    <vt:lpwstr>ba9028a4-c1b8-4b7b-9885-151a09dfd356</vt:lpwstr>
  </property>
  <property fmtid="{D5CDD505-2E9C-101B-9397-08002B2CF9AE}" pid="10" name="MSIP_Label_26615553-48f4-466c-a66f-a3bb9a6459c5_ContentBits">
    <vt:lpwstr>0</vt:lpwstr>
  </property>
</Properties>
</file>