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01-soutien_agriculture\06-maec-bio\02_maec\03_prog_2023-2027\07_aap_animation_2024\3_publication_ami_aap\AAP\"/>
    </mc:Choice>
  </mc:AlternateContent>
  <bookViews>
    <workbookView xWindow="0" yWindow="0" windowWidth="28800" windowHeight="12015" tabRatio="887"/>
  </bookViews>
  <sheets>
    <sheet name="Identification" sheetId="1" r:id="rId1"/>
    <sheet name="Pièces justificatives" sheetId="2" r:id="rId2"/>
    <sheet name="Eligibilité" sheetId="3" state="hidden" r:id="rId3"/>
    <sheet name="Intervenants et coûts-j" sheetId="9" r:id="rId4"/>
    <sheet name="Dépenses volet 1-Elaboration" sheetId="4" state="hidden" r:id="rId5"/>
    <sheet name="Dép.volet 2-Animation-2024-2025" sheetId="10" r:id="rId6"/>
    <sheet name="Dép. volet 3-Diag-2024-2025" sheetId="7" r:id="rId7"/>
    <sheet name="Dép.volet 4-Form-2023-2024-2025" sheetId="11" r:id="rId8"/>
    <sheet name="Synthèse montants présentés" sheetId="5" r:id="rId9"/>
    <sheet name="Réalisation 2023" sheetId="14" r:id="rId10"/>
    <sheet name="Demande d'aide" sheetId="13" r:id="rId11"/>
    <sheet name="Référentiel" sheetId="8" state="hidden" r:id="rId12"/>
  </sheets>
  <definedNames>
    <definedName name="ListeIntervenants1">Référentiel!$I$3:$I$10</definedName>
    <definedName name="ListeIntervenants2">Référentiel!$I$16:$I$23</definedName>
    <definedName name="ListeIntervenants3">Référentiel!$I$28:$I$35</definedName>
    <definedName name="ListeIntervenants4">Référentiel!$I$40:$I$44</definedName>
    <definedName name="ListeIntervenants5">Référentiel!$I$47:$I$51</definedName>
    <definedName name="ListeIntervenants6">Référentiel!$I$54:$I$58</definedName>
    <definedName name="ListeIntervenants7">Référentiel!$I$61:$I$65</definedName>
    <definedName name="Prestataire_1">Référentiel!$I$47</definedName>
    <definedName name="Ref_actions_animation">Référentiel!$B$21:$B$30</definedName>
    <definedName name="Ref_actions_diag">Référentiel!$B$35:$B$37</definedName>
    <definedName name="Ref_actions_elaboration">Référentiel!$B$14:$B$17</definedName>
    <definedName name="Ref_cat_personnel">Référentiel!$B$3:$B$5</definedName>
    <definedName name="Ref_categories_diag">Référentiel!$E$3:$E$6</definedName>
    <definedName name="RefPresta">Référentiel!$P$3:$P$10</definedName>
    <definedName name="RefStructures">Référentiel!$M$3:$M$10</definedName>
    <definedName name="_xlnm.Print_Area" localSheetId="10">'Demande d''aide'!$A$1:$N$33</definedName>
    <definedName name="_xlnm.Print_Area" localSheetId="6">'Dép. volet 3-Diag-2024-2025'!$A$1:$P$59</definedName>
    <definedName name="_xlnm.Print_Area" localSheetId="5">'Dép.volet 2-Animation-2024-2025'!$A$1:$V$99</definedName>
    <definedName name="_xlnm.Print_Area" localSheetId="7">'Dép.volet 4-Form-2023-2024-2025'!$A$1:$Q$48</definedName>
    <definedName name="_xlnm.Print_Area" localSheetId="4">'Dépenses volet 1-Elaboration'!$A$1:$J$65</definedName>
    <definedName name="_xlnm.Print_Area" localSheetId="2">Eligibilité!$A$1:$D$66</definedName>
    <definedName name="_xlnm.Print_Area" localSheetId="0">Identification!$A$1:$J$52</definedName>
    <definedName name="_xlnm.Print_Area" localSheetId="3">'Intervenants et coûts-j'!$A$1:$F$59</definedName>
    <definedName name="_xlnm.Print_Area" localSheetId="1">'Pièces justificatives'!$A$1:$E$24</definedName>
    <definedName name="_xlnm.Print_Area" localSheetId="9">'Réalisation 2023'!$A$1:$S$41</definedName>
    <definedName name="_xlnm.Print_Area" localSheetId="8">'Synthèse montants présentés'!$A$1:$J$31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0" l="1"/>
  <c r="H21" i="10"/>
  <c r="I21" i="10" s="1"/>
  <c r="J21" i="10" s="1"/>
  <c r="M21" i="10" s="1"/>
  <c r="K21" i="10"/>
  <c r="L21" i="10"/>
  <c r="P21" i="10"/>
  <c r="Q21" i="10"/>
  <c r="R21" i="10"/>
  <c r="U21" i="10" s="1"/>
  <c r="S21" i="10"/>
  <c r="T21" i="10"/>
  <c r="G22" i="10"/>
  <c r="H22" i="10"/>
  <c r="I22" i="10"/>
  <c r="J22" i="10" s="1"/>
  <c r="M22" i="10" s="1"/>
  <c r="K22" i="10"/>
  <c r="L22" i="10"/>
  <c r="P22" i="10"/>
  <c r="Q22" i="10"/>
  <c r="R22" i="10"/>
  <c r="S22" i="10"/>
  <c r="T22" i="10"/>
  <c r="U22" i="10"/>
  <c r="G23" i="10"/>
  <c r="H23" i="10"/>
  <c r="I23" i="10" s="1"/>
  <c r="J23" i="10" s="1"/>
  <c r="L23" i="10"/>
  <c r="P23" i="10"/>
  <c r="Q23" i="10"/>
  <c r="R23" i="10"/>
  <c r="U23" i="10" s="1"/>
  <c r="S23" i="10"/>
  <c r="T23" i="10"/>
  <c r="G24" i="10"/>
  <c r="H24" i="10"/>
  <c r="I24" i="10"/>
  <c r="J24" i="10" s="1"/>
  <c r="M24" i="10" s="1"/>
  <c r="K24" i="10"/>
  <c r="L24" i="10"/>
  <c r="P24" i="10"/>
  <c r="Q24" i="10"/>
  <c r="R24" i="10"/>
  <c r="U24" i="10" s="1"/>
  <c r="S24" i="10"/>
  <c r="T24" i="10"/>
  <c r="G25" i="10"/>
  <c r="H25" i="10"/>
  <c r="K25" i="10" s="1"/>
  <c r="L25" i="10"/>
  <c r="P25" i="10"/>
  <c r="Q25" i="10"/>
  <c r="R25" i="10"/>
  <c r="U25" i="10" s="1"/>
  <c r="S25" i="10"/>
  <c r="T25" i="10"/>
  <c r="G26" i="10"/>
  <c r="H26" i="10"/>
  <c r="I26" i="10"/>
  <c r="J26" i="10" s="1"/>
  <c r="M26" i="10" s="1"/>
  <c r="K26" i="10"/>
  <c r="L26" i="10"/>
  <c r="P26" i="10"/>
  <c r="Q26" i="10"/>
  <c r="R26" i="10"/>
  <c r="U26" i="10" s="1"/>
  <c r="S26" i="10"/>
  <c r="T26" i="10"/>
  <c r="G27" i="10"/>
  <c r="H27" i="10"/>
  <c r="I27" i="10" s="1"/>
  <c r="J27" i="10" s="1"/>
  <c r="L27" i="10"/>
  <c r="P27" i="10"/>
  <c r="Q27" i="10"/>
  <c r="R27" i="10"/>
  <c r="U27" i="10" s="1"/>
  <c r="S27" i="10"/>
  <c r="T27" i="10"/>
  <c r="G28" i="10"/>
  <c r="H28" i="10"/>
  <c r="I28" i="10"/>
  <c r="J28" i="10" s="1"/>
  <c r="M28" i="10" s="1"/>
  <c r="K28" i="10"/>
  <c r="L28" i="10"/>
  <c r="P28" i="10"/>
  <c r="Q28" i="10"/>
  <c r="R28" i="10"/>
  <c r="U28" i="10" s="1"/>
  <c r="S28" i="10"/>
  <c r="T28" i="10"/>
  <c r="G29" i="10"/>
  <c r="H29" i="10"/>
  <c r="K29" i="10" s="1"/>
  <c r="L29" i="10"/>
  <c r="P29" i="10"/>
  <c r="Q29" i="10"/>
  <c r="R29" i="10"/>
  <c r="U29" i="10" s="1"/>
  <c r="S29" i="10"/>
  <c r="T29" i="10"/>
  <c r="G30" i="10"/>
  <c r="H30" i="10"/>
  <c r="I30" i="10"/>
  <c r="J30" i="10" s="1"/>
  <c r="M30" i="10" s="1"/>
  <c r="K30" i="10"/>
  <c r="L30" i="10"/>
  <c r="P30" i="10"/>
  <c r="Q30" i="10"/>
  <c r="R30" i="10"/>
  <c r="U30" i="10" s="1"/>
  <c r="S30" i="10"/>
  <c r="T30" i="10"/>
  <c r="G31" i="10"/>
  <c r="H31" i="10"/>
  <c r="I31" i="10" s="1"/>
  <c r="J31" i="10" s="1"/>
  <c r="L31" i="10"/>
  <c r="P31" i="10"/>
  <c r="Q31" i="10"/>
  <c r="R31" i="10"/>
  <c r="U31" i="10" s="1"/>
  <c r="S31" i="10"/>
  <c r="T31" i="10"/>
  <c r="G32" i="10"/>
  <c r="H32" i="10"/>
  <c r="I32" i="10"/>
  <c r="J32" i="10" s="1"/>
  <c r="M32" i="10" s="1"/>
  <c r="K32" i="10"/>
  <c r="L32" i="10"/>
  <c r="P32" i="10"/>
  <c r="Q32" i="10"/>
  <c r="R32" i="10"/>
  <c r="U32" i="10" s="1"/>
  <c r="S32" i="10"/>
  <c r="T32" i="10"/>
  <c r="G33" i="10"/>
  <c r="H33" i="10"/>
  <c r="K33" i="10" s="1"/>
  <c r="L33" i="10"/>
  <c r="P33" i="10"/>
  <c r="Q33" i="10"/>
  <c r="R33" i="10"/>
  <c r="U33" i="10" s="1"/>
  <c r="S33" i="10"/>
  <c r="T33" i="10"/>
  <c r="G34" i="10"/>
  <c r="H34" i="10"/>
  <c r="I34" i="10"/>
  <c r="J34" i="10" s="1"/>
  <c r="M34" i="10" s="1"/>
  <c r="K34" i="10"/>
  <c r="L34" i="10"/>
  <c r="P34" i="10"/>
  <c r="Q34" i="10"/>
  <c r="R34" i="10"/>
  <c r="U34" i="10" s="1"/>
  <c r="S34" i="10"/>
  <c r="T34" i="10"/>
  <c r="G35" i="10"/>
  <c r="H35" i="10"/>
  <c r="I35" i="10" s="1"/>
  <c r="J35" i="10" s="1"/>
  <c r="L35" i="10"/>
  <c r="P35" i="10"/>
  <c r="Q35" i="10"/>
  <c r="R35" i="10"/>
  <c r="U35" i="10" s="1"/>
  <c r="S35" i="10"/>
  <c r="T35" i="10"/>
  <c r="G36" i="10"/>
  <c r="H36" i="10"/>
  <c r="I36" i="10"/>
  <c r="J36" i="10" s="1"/>
  <c r="M36" i="10" s="1"/>
  <c r="K36" i="10"/>
  <c r="L36" i="10"/>
  <c r="P36" i="10"/>
  <c r="Q36" i="10"/>
  <c r="R36" i="10"/>
  <c r="U36" i="10" s="1"/>
  <c r="S36" i="10"/>
  <c r="T36" i="10"/>
  <c r="G37" i="10"/>
  <c r="H37" i="10"/>
  <c r="I37" i="10" s="1"/>
  <c r="J37" i="10" s="1"/>
  <c r="M37" i="10" s="1"/>
  <c r="K37" i="10"/>
  <c r="L37" i="10"/>
  <c r="P37" i="10"/>
  <c r="Q37" i="10"/>
  <c r="R37" i="10"/>
  <c r="U37" i="10" s="1"/>
  <c r="S37" i="10"/>
  <c r="T37" i="10"/>
  <c r="G38" i="10"/>
  <c r="H38" i="10"/>
  <c r="I38" i="10"/>
  <c r="J38" i="10" s="1"/>
  <c r="M38" i="10" s="1"/>
  <c r="K38" i="10"/>
  <c r="L38" i="10"/>
  <c r="P38" i="10"/>
  <c r="Q38" i="10"/>
  <c r="R38" i="10"/>
  <c r="U38" i="10" s="1"/>
  <c r="S38" i="10"/>
  <c r="T38" i="10"/>
  <c r="G39" i="10"/>
  <c r="H39" i="10"/>
  <c r="I39" i="10" s="1"/>
  <c r="J39" i="10" s="1"/>
  <c r="L39" i="10"/>
  <c r="P39" i="10"/>
  <c r="Q39" i="10"/>
  <c r="R39" i="10"/>
  <c r="U39" i="10" s="1"/>
  <c r="S39" i="10"/>
  <c r="T39" i="10"/>
  <c r="G40" i="10"/>
  <c r="H40" i="10"/>
  <c r="I40" i="10"/>
  <c r="J40" i="10" s="1"/>
  <c r="M40" i="10" s="1"/>
  <c r="K40" i="10"/>
  <c r="L40" i="10"/>
  <c r="P40" i="10"/>
  <c r="Q40" i="10"/>
  <c r="R40" i="10"/>
  <c r="U40" i="10" s="1"/>
  <c r="S40" i="10"/>
  <c r="T40" i="10"/>
  <c r="G41" i="10"/>
  <c r="H41" i="10"/>
  <c r="I41" i="10" s="1"/>
  <c r="J41" i="10" s="1"/>
  <c r="M41" i="10" s="1"/>
  <c r="K41" i="10"/>
  <c r="L41" i="10"/>
  <c r="P41" i="10"/>
  <c r="Q41" i="10"/>
  <c r="R41" i="10"/>
  <c r="U41" i="10" s="1"/>
  <c r="S41" i="10"/>
  <c r="T41" i="10"/>
  <c r="G42" i="10"/>
  <c r="H42" i="10"/>
  <c r="I42" i="10"/>
  <c r="J42" i="10" s="1"/>
  <c r="M42" i="10" s="1"/>
  <c r="K42" i="10"/>
  <c r="L42" i="10"/>
  <c r="P42" i="10"/>
  <c r="Q42" i="10"/>
  <c r="R42" i="10"/>
  <c r="U42" i="10" s="1"/>
  <c r="S42" i="10"/>
  <c r="T42" i="10"/>
  <c r="G43" i="10"/>
  <c r="H43" i="10"/>
  <c r="I43" i="10" s="1"/>
  <c r="J43" i="10" s="1"/>
  <c r="L43" i="10"/>
  <c r="P43" i="10"/>
  <c r="Q43" i="10"/>
  <c r="R43" i="10"/>
  <c r="U43" i="10" s="1"/>
  <c r="S43" i="10"/>
  <c r="T43" i="10"/>
  <c r="G44" i="10"/>
  <c r="H44" i="10"/>
  <c r="I44" i="10"/>
  <c r="J44" i="10" s="1"/>
  <c r="M44" i="10" s="1"/>
  <c r="K44" i="10"/>
  <c r="L44" i="10"/>
  <c r="P44" i="10"/>
  <c r="Q44" i="10"/>
  <c r="R44" i="10"/>
  <c r="U44" i="10" s="1"/>
  <c r="S44" i="10"/>
  <c r="T44" i="10"/>
  <c r="G45" i="10"/>
  <c r="H45" i="10"/>
  <c r="I45" i="10"/>
  <c r="J45" i="10"/>
  <c r="M45" i="10" s="1"/>
  <c r="K45" i="10"/>
  <c r="L45" i="10"/>
  <c r="P45" i="10"/>
  <c r="Q45" i="10"/>
  <c r="R45" i="10"/>
  <c r="S45" i="10"/>
  <c r="T45" i="10"/>
  <c r="U45" i="10"/>
  <c r="G46" i="10"/>
  <c r="H46" i="10"/>
  <c r="I46" i="10"/>
  <c r="J46" i="10" s="1"/>
  <c r="M46" i="10" s="1"/>
  <c r="K46" i="10"/>
  <c r="L46" i="10"/>
  <c r="P46" i="10"/>
  <c r="Q46" i="10"/>
  <c r="R46" i="10"/>
  <c r="U46" i="10" s="1"/>
  <c r="S46" i="10"/>
  <c r="T46" i="10"/>
  <c r="G47" i="10"/>
  <c r="H47" i="10"/>
  <c r="I47" i="10" s="1"/>
  <c r="J47" i="10" s="1"/>
  <c r="L47" i="10"/>
  <c r="P47" i="10"/>
  <c r="Q47" i="10"/>
  <c r="R47" i="10"/>
  <c r="U47" i="10" s="1"/>
  <c r="S47" i="10"/>
  <c r="T47" i="10"/>
  <c r="G48" i="10"/>
  <c r="H48" i="10"/>
  <c r="I48" i="10" s="1"/>
  <c r="J48" i="10" s="1"/>
  <c r="M48" i="10" s="1"/>
  <c r="K48" i="10"/>
  <c r="L48" i="10"/>
  <c r="P48" i="10"/>
  <c r="Q48" i="10"/>
  <c r="R48" i="10"/>
  <c r="S48" i="10"/>
  <c r="T48" i="10"/>
  <c r="U48" i="10"/>
  <c r="G49" i="10"/>
  <c r="H49" i="10"/>
  <c r="I49" i="10"/>
  <c r="J49" i="10"/>
  <c r="M49" i="10" s="1"/>
  <c r="K49" i="10"/>
  <c r="L49" i="10"/>
  <c r="P49" i="10"/>
  <c r="Q49" i="10"/>
  <c r="R49" i="10"/>
  <c r="S49" i="10"/>
  <c r="T49" i="10"/>
  <c r="U49" i="10"/>
  <c r="G50" i="10"/>
  <c r="H50" i="10"/>
  <c r="K50" i="10" s="1"/>
  <c r="I50" i="10"/>
  <c r="J50" i="10" s="1"/>
  <c r="M50" i="10" s="1"/>
  <c r="L50" i="10"/>
  <c r="P50" i="10"/>
  <c r="Q50" i="10"/>
  <c r="R50" i="10"/>
  <c r="U50" i="10" s="1"/>
  <c r="S50" i="10"/>
  <c r="T50" i="10"/>
  <c r="G51" i="10"/>
  <c r="H51" i="10"/>
  <c r="I51" i="10" s="1"/>
  <c r="J51" i="10" s="1"/>
  <c r="L51" i="10"/>
  <c r="P51" i="10"/>
  <c r="Q51" i="10"/>
  <c r="R51" i="10"/>
  <c r="U51" i="10" s="1"/>
  <c r="S51" i="10"/>
  <c r="T51" i="10"/>
  <c r="G52" i="10"/>
  <c r="H52" i="10"/>
  <c r="I52" i="10" s="1"/>
  <c r="J52" i="10" s="1"/>
  <c r="M52" i="10" s="1"/>
  <c r="K52" i="10"/>
  <c r="L52" i="10"/>
  <c r="P52" i="10"/>
  <c r="Q52" i="10"/>
  <c r="R52" i="10"/>
  <c r="U52" i="10" s="1"/>
  <c r="S52" i="10"/>
  <c r="T52" i="10"/>
  <c r="G53" i="10"/>
  <c r="H53" i="10"/>
  <c r="I53" i="10"/>
  <c r="J53" i="10" s="1"/>
  <c r="M53" i="10" s="1"/>
  <c r="K53" i="10"/>
  <c r="L53" i="10"/>
  <c r="P53" i="10"/>
  <c r="Q53" i="10"/>
  <c r="R53" i="10"/>
  <c r="U53" i="10" s="1"/>
  <c r="S53" i="10"/>
  <c r="T53" i="10"/>
  <c r="G54" i="10"/>
  <c r="H54" i="10"/>
  <c r="K54" i="10" s="1"/>
  <c r="I54" i="10"/>
  <c r="J54" i="10" s="1"/>
  <c r="M54" i="10" s="1"/>
  <c r="L54" i="10"/>
  <c r="P54" i="10"/>
  <c r="Q54" i="10"/>
  <c r="R54" i="10"/>
  <c r="U54" i="10" s="1"/>
  <c r="S54" i="10"/>
  <c r="T54" i="10"/>
  <c r="G55" i="10"/>
  <c r="H55" i="10"/>
  <c r="I55" i="10" s="1"/>
  <c r="J55" i="10" s="1"/>
  <c r="L55" i="10"/>
  <c r="P55" i="10"/>
  <c r="Q55" i="10"/>
  <c r="R55" i="10"/>
  <c r="U55" i="10" s="1"/>
  <c r="S55" i="10"/>
  <c r="T55" i="10"/>
  <c r="G56" i="10"/>
  <c r="H56" i="10"/>
  <c r="I56" i="10" s="1"/>
  <c r="J56" i="10" s="1"/>
  <c r="M56" i="10" s="1"/>
  <c r="K56" i="10"/>
  <c r="L56" i="10"/>
  <c r="P56" i="10"/>
  <c r="Q56" i="10"/>
  <c r="R56" i="10"/>
  <c r="U56" i="10" s="1"/>
  <c r="S56" i="10"/>
  <c r="T56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M27" i="10" l="1"/>
  <c r="K55" i="10"/>
  <c r="M55" i="10" s="1"/>
  <c r="K51" i="10"/>
  <c r="M51" i="10" s="1"/>
  <c r="K47" i="10"/>
  <c r="M47" i="10" s="1"/>
  <c r="K43" i="10"/>
  <c r="M43" i="10" s="1"/>
  <c r="K39" i="10"/>
  <c r="M39" i="10" s="1"/>
  <c r="K35" i="10"/>
  <c r="M35" i="10" s="1"/>
  <c r="I33" i="10"/>
  <c r="J33" i="10" s="1"/>
  <c r="M33" i="10" s="1"/>
  <c r="K31" i="10"/>
  <c r="M31" i="10" s="1"/>
  <c r="I29" i="10"/>
  <c r="J29" i="10" s="1"/>
  <c r="M29" i="10" s="1"/>
  <c r="K27" i="10"/>
  <c r="I25" i="10"/>
  <c r="J25" i="10" s="1"/>
  <c r="M25" i="10" s="1"/>
  <c r="K23" i="10"/>
  <c r="M23" i="10" s="1"/>
  <c r="C5" i="13"/>
  <c r="L13" i="10" l="1"/>
  <c r="L14" i="10"/>
  <c r="L15" i="10"/>
  <c r="L17" i="10"/>
  <c r="L18" i="10"/>
  <c r="L19" i="10"/>
  <c r="L57" i="10"/>
  <c r="L58" i="10"/>
  <c r="AI12" i="11" l="1"/>
  <c r="AI13" i="11"/>
  <c r="AI14" i="11"/>
  <c r="B4" i="14" l="1"/>
  <c r="N7" i="13" l="1"/>
  <c r="I23" i="14" l="1"/>
  <c r="I22" i="14"/>
  <c r="I21" i="14"/>
  <c r="I20" i="14"/>
  <c r="I17" i="14"/>
  <c r="I16" i="14"/>
  <c r="I15" i="14"/>
  <c r="I14" i="14"/>
  <c r="I10" i="14"/>
  <c r="I9" i="14"/>
  <c r="I8" i="14"/>
  <c r="I7" i="14"/>
  <c r="I12" i="14"/>
  <c r="H24" i="14" l="1"/>
  <c r="G24" i="14"/>
  <c r="F24" i="14"/>
  <c r="E24" i="14"/>
  <c r="E25" i="14" s="1"/>
  <c r="D24" i="14"/>
  <c r="C24" i="14"/>
  <c r="B24" i="14"/>
  <c r="H18" i="14"/>
  <c r="H25" i="14" s="1"/>
  <c r="G18" i="14"/>
  <c r="G25" i="14" s="1"/>
  <c r="F18" i="14"/>
  <c r="F25" i="14" s="1"/>
  <c r="E18" i="14"/>
  <c r="D18" i="14"/>
  <c r="C18" i="14"/>
  <c r="C25" i="14" s="1"/>
  <c r="B18" i="14"/>
  <c r="D25" i="14" l="1"/>
  <c r="I24" i="14"/>
  <c r="B11" i="13" s="1"/>
  <c r="B25" i="14"/>
  <c r="I18" i="14"/>
  <c r="B9" i="13" s="1"/>
  <c r="B5" i="13"/>
  <c r="B7" i="13"/>
  <c r="I25" i="14" l="1"/>
  <c r="B14" i="13"/>
  <c r="C58" i="9"/>
  <c r="H11" i="14" l="1"/>
  <c r="G11" i="14"/>
  <c r="F11" i="14"/>
  <c r="E11" i="14"/>
  <c r="D11" i="14"/>
  <c r="C11" i="14"/>
  <c r="P25" i="14"/>
  <c r="O25" i="14"/>
  <c r="N25" i="14"/>
  <c r="M25" i="14"/>
  <c r="L25" i="14"/>
  <c r="K25" i="14"/>
  <c r="J25" i="14"/>
  <c r="Q24" i="14"/>
  <c r="Q18" i="14"/>
  <c r="Q12" i="14"/>
  <c r="B11" i="14"/>
  <c r="I24" i="5"/>
  <c r="H24" i="5"/>
  <c r="G24" i="5"/>
  <c r="F24" i="5"/>
  <c r="E24" i="5"/>
  <c r="D24" i="5"/>
  <c r="C24" i="5"/>
  <c r="J20" i="5"/>
  <c r="J13" i="5"/>
  <c r="I17" i="5"/>
  <c r="H17" i="5"/>
  <c r="G17" i="5"/>
  <c r="F17" i="5"/>
  <c r="E17" i="5"/>
  <c r="D17" i="5"/>
  <c r="C17" i="5"/>
  <c r="AE15" i="11"/>
  <c r="P15" i="11"/>
  <c r="C25" i="11"/>
  <c r="D25" i="11"/>
  <c r="B25" i="11"/>
  <c r="AC25" i="7"/>
  <c r="AC15" i="7"/>
  <c r="AC5" i="7"/>
  <c r="O25" i="7"/>
  <c r="O15" i="7"/>
  <c r="O5" i="7"/>
  <c r="I11" i="14" l="1"/>
  <c r="R12" i="14" s="1"/>
  <c r="C7" i="13"/>
  <c r="R18" i="14"/>
  <c r="C9" i="13"/>
  <c r="R24" i="14"/>
  <c r="C11" i="13"/>
  <c r="Q25" i="14"/>
  <c r="W33" i="11"/>
  <c r="U48" i="11"/>
  <c r="U47" i="11"/>
  <c r="U25" i="11"/>
  <c r="AC21" i="11"/>
  <c r="AB21" i="11"/>
  <c r="AA21" i="11"/>
  <c r="Z21" i="11"/>
  <c r="AD21" i="11" s="1"/>
  <c r="Y21" i="11"/>
  <c r="AC20" i="11"/>
  <c r="AB20" i="11"/>
  <c r="AA20" i="11"/>
  <c r="Z20" i="11"/>
  <c r="AD20" i="11" s="1"/>
  <c r="Y20" i="11"/>
  <c r="AC19" i="11"/>
  <c r="AB19" i="11"/>
  <c r="AA19" i="11"/>
  <c r="Z19" i="11"/>
  <c r="AD19" i="11" s="1"/>
  <c r="Y19" i="11"/>
  <c r="AC18" i="11"/>
  <c r="AB18" i="11"/>
  <c r="AA18" i="11"/>
  <c r="Z18" i="11"/>
  <c r="AD18" i="11" s="1"/>
  <c r="Y18" i="11"/>
  <c r="AC17" i="11"/>
  <c r="AB17" i="11"/>
  <c r="AA17" i="11"/>
  <c r="Z17" i="11"/>
  <c r="AD17" i="11" s="1"/>
  <c r="Y17" i="11"/>
  <c r="Y16" i="11"/>
  <c r="Y15" i="11"/>
  <c r="AC11" i="11"/>
  <c r="AB11" i="11"/>
  <c r="AA11" i="11"/>
  <c r="Z11" i="11"/>
  <c r="AD11" i="11" s="1"/>
  <c r="Y11" i="11"/>
  <c r="AC10" i="11"/>
  <c r="AB10" i="11"/>
  <c r="AA10" i="11"/>
  <c r="Z10" i="11"/>
  <c r="AD10" i="11" s="1"/>
  <c r="Y10" i="11"/>
  <c r="AC9" i="11"/>
  <c r="AB9" i="11"/>
  <c r="AA9" i="11"/>
  <c r="Z9" i="11"/>
  <c r="AD9" i="11" s="1"/>
  <c r="Y9" i="11"/>
  <c r="AC8" i="11"/>
  <c r="AB8" i="11"/>
  <c r="AA8" i="11"/>
  <c r="Z8" i="11"/>
  <c r="AD8" i="11" s="1"/>
  <c r="Y8" i="11"/>
  <c r="AC7" i="11"/>
  <c r="AB7" i="11"/>
  <c r="AA7" i="11"/>
  <c r="Z7" i="11"/>
  <c r="AD7" i="11" s="1"/>
  <c r="Y7" i="11"/>
  <c r="Y6" i="11"/>
  <c r="Y5" i="11"/>
  <c r="H33" i="11"/>
  <c r="B24" i="5" s="1"/>
  <c r="J24" i="5" s="1"/>
  <c r="AH11" i="11"/>
  <c r="N11" i="11"/>
  <c r="M11" i="11"/>
  <c r="L11" i="11"/>
  <c r="K11" i="11"/>
  <c r="O11" i="11" s="1"/>
  <c r="AI11" i="11" s="1"/>
  <c r="J11" i="11"/>
  <c r="AH10" i="11"/>
  <c r="N10" i="11"/>
  <c r="M10" i="11"/>
  <c r="L10" i="11"/>
  <c r="K10" i="11"/>
  <c r="O10" i="11" s="1"/>
  <c r="AI10" i="11" s="1"/>
  <c r="J10" i="11"/>
  <c r="AH9" i="11"/>
  <c r="N9" i="11"/>
  <c r="M9" i="11"/>
  <c r="L9" i="11"/>
  <c r="K9" i="11"/>
  <c r="O9" i="11" s="1"/>
  <c r="AI9" i="11" s="1"/>
  <c r="J9" i="11"/>
  <c r="AH8" i="11"/>
  <c r="N8" i="11"/>
  <c r="M8" i="11"/>
  <c r="L8" i="11"/>
  <c r="K8" i="11"/>
  <c r="O8" i="11" s="1"/>
  <c r="AI8" i="11" s="1"/>
  <c r="J8" i="11"/>
  <c r="AH7" i="11"/>
  <c r="K7" i="11"/>
  <c r="N7" i="11" s="1"/>
  <c r="J7" i="11"/>
  <c r="AH6" i="11"/>
  <c r="J6" i="11"/>
  <c r="AH5" i="11"/>
  <c r="J5" i="11"/>
  <c r="B48" i="11"/>
  <c r="B31" i="5" s="1"/>
  <c r="B41" i="14" s="1"/>
  <c r="B33" i="13" s="1"/>
  <c r="B47" i="11"/>
  <c r="B30" i="5" s="1"/>
  <c r="B40" i="14" s="1"/>
  <c r="B32" i="13" s="1"/>
  <c r="F25" i="11"/>
  <c r="AH24" i="11"/>
  <c r="AH23" i="11"/>
  <c r="AH22" i="11"/>
  <c r="AH21" i="11"/>
  <c r="N21" i="11"/>
  <c r="M21" i="11"/>
  <c r="L21" i="11"/>
  <c r="K21" i="11"/>
  <c r="O21" i="11" s="1"/>
  <c r="J21" i="11"/>
  <c r="AH20" i="11"/>
  <c r="N20" i="11"/>
  <c r="M20" i="11"/>
  <c r="L20" i="11"/>
  <c r="K20" i="11"/>
  <c r="O20" i="11" s="1"/>
  <c r="J20" i="11"/>
  <c r="AH19" i="11"/>
  <c r="N19" i="11"/>
  <c r="M19" i="11"/>
  <c r="L19" i="11"/>
  <c r="K19" i="11"/>
  <c r="O19" i="11" s="1"/>
  <c r="J19" i="11"/>
  <c r="AH18" i="11"/>
  <c r="K18" i="11"/>
  <c r="N18" i="11" s="1"/>
  <c r="J18" i="11"/>
  <c r="AH17" i="11"/>
  <c r="M17" i="11"/>
  <c r="K17" i="11"/>
  <c r="N17" i="11" s="1"/>
  <c r="J17" i="11"/>
  <c r="AH16" i="11"/>
  <c r="J16" i="11"/>
  <c r="AH15" i="11"/>
  <c r="J15" i="11"/>
  <c r="AH14" i="11"/>
  <c r="AH13" i="11"/>
  <c r="AH12" i="11"/>
  <c r="L7" i="11" l="1"/>
  <c r="M7" i="11" s="1"/>
  <c r="O7" i="11" s="1"/>
  <c r="AI7" i="11" s="1"/>
  <c r="L17" i="11"/>
  <c r="O17" i="11"/>
  <c r="L18" i="11"/>
  <c r="M18" i="11" s="1"/>
  <c r="O18" i="11" s="1"/>
  <c r="C14" i="13"/>
  <c r="R25" i="14"/>
  <c r="AB34" i="7"/>
  <c r="AB33" i="7"/>
  <c r="AB32" i="7"/>
  <c r="AB31" i="7"/>
  <c r="AB30" i="7"/>
  <c r="AB29" i="7"/>
  <c r="AB28" i="7"/>
  <c r="AB27" i="7"/>
  <c r="AB24" i="7"/>
  <c r="AB23" i="7"/>
  <c r="AB22" i="7"/>
  <c r="AB21" i="7"/>
  <c r="AB20" i="7"/>
  <c r="AB19" i="7"/>
  <c r="AB18" i="7"/>
  <c r="AB17" i="7"/>
  <c r="AB14" i="7"/>
  <c r="AB13" i="7"/>
  <c r="AB12" i="7"/>
  <c r="AB11" i="7"/>
  <c r="AB10" i="7"/>
  <c r="AB9" i="7"/>
  <c r="AB8" i="7"/>
  <c r="AB7" i="7"/>
  <c r="Z34" i="7"/>
  <c r="Z33" i="7"/>
  <c r="Z32" i="7"/>
  <c r="Z31" i="7"/>
  <c r="Z30" i="7"/>
  <c r="Z29" i="7"/>
  <c r="Z28" i="7"/>
  <c r="Z27" i="7"/>
  <c r="Z24" i="7"/>
  <c r="Z23" i="7"/>
  <c r="Z22" i="7"/>
  <c r="Z21" i="7"/>
  <c r="Z20" i="7"/>
  <c r="Z19" i="7"/>
  <c r="Z18" i="7"/>
  <c r="Z17" i="7"/>
  <c r="Z14" i="7"/>
  <c r="Z13" i="7"/>
  <c r="Z12" i="7"/>
  <c r="Z11" i="7"/>
  <c r="Z10" i="7"/>
  <c r="Z9" i="7"/>
  <c r="Z8" i="7"/>
  <c r="Z7" i="7"/>
  <c r="T34" i="7"/>
  <c r="S34" i="7"/>
  <c r="T33" i="7"/>
  <c r="S33" i="7"/>
  <c r="T32" i="7"/>
  <c r="S32" i="7"/>
  <c r="T31" i="7"/>
  <c r="W31" i="7" s="1"/>
  <c r="S31" i="7"/>
  <c r="T30" i="7"/>
  <c r="S30" i="7"/>
  <c r="T29" i="7"/>
  <c r="W29" i="7" s="1"/>
  <c r="S29" i="7"/>
  <c r="T28" i="7"/>
  <c r="W28" i="7" s="1"/>
  <c r="S28" i="7"/>
  <c r="T27" i="7"/>
  <c r="W27" i="7" s="1"/>
  <c r="S27" i="7"/>
  <c r="T26" i="7"/>
  <c r="W26" i="7" s="1"/>
  <c r="S26" i="7"/>
  <c r="T25" i="7"/>
  <c r="W25" i="7" s="1"/>
  <c r="S25" i="7"/>
  <c r="T24" i="7"/>
  <c r="S24" i="7"/>
  <c r="T23" i="7"/>
  <c r="S23" i="7"/>
  <c r="T22" i="7"/>
  <c r="S22" i="7"/>
  <c r="T21" i="7"/>
  <c r="X21" i="7" s="1"/>
  <c r="S21" i="7"/>
  <c r="T20" i="7"/>
  <c r="S20" i="7"/>
  <c r="T19" i="7"/>
  <c r="X19" i="7" s="1"/>
  <c r="S19" i="7"/>
  <c r="T18" i="7"/>
  <c r="X18" i="7" s="1"/>
  <c r="S18" i="7"/>
  <c r="T17" i="7"/>
  <c r="X17" i="7" s="1"/>
  <c r="S17" i="7"/>
  <c r="T16" i="7"/>
  <c r="W16" i="7" s="1"/>
  <c r="S16" i="7"/>
  <c r="T15" i="7"/>
  <c r="W15" i="7" s="1"/>
  <c r="S15" i="7"/>
  <c r="T14" i="7"/>
  <c r="S14" i="7"/>
  <c r="T13" i="7"/>
  <c r="S13" i="7"/>
  <c r="T12" i="7"/>
  <c r="S12" i="7"/>
  <c r="T11" i="7"/>
  <c r="W11" i="7" s="1"/>
  <c r="S11" i="7"/>
  <c r="T10" i="7"/>
  <c r="X10" i="7" s="1"/>
  <c r="S10" i="7"/>
  <c r="T9" i="7"/>
  <c r="W9" i="7" s="1"/>
  <c r="S9" i="7"/>
  <c r="T8" i="7"/>
  <c r="S8" i="7"/>
  <c r="T7" i="7"/>
  <c r="W7" i="7" s="1"/>
  <c r="S7" i="7"/>
  <c r="T6" i="7"/>
  <c r="W6" i="7" s="1"/>
  <c r="S6" i="7"/>
  <c r="T5" i="7"/>
  <c r="W5" i="7" s="1"/>
  <c r="S5" i="7"/>
  <c r="AA31" i="7"/>
  <c r="Y31" i="7"/>
  <c r="X31" i="7"/>
  <c r="AA30" i="7"/>
  <c r="Y30" i="7"/>
  <c r="X30" i="7"/>
  <c r="W30" i="7"/>
  <c r="AA29" i="7"/>
  <c r="Y29" i="7"/>
  <c r="AA28" i="7"/>
  <c r="Y28" i="7"/>
  <c r="X28" i="7"/>
  <c r="AA27" i="7"/>
  <c r="Y27" i="7"/>
  <c r="AA21" i="7"/>
  <c r="Y21" i="7"/>
  <c r="AA20" i="7"/>
  <c r="Y20" i="7"/>
  <c r="X20" i="7"/>
  <c r="W20" i="7"/>
  <c r="AA19" i="7"/>
  <c r="Y19" i="7"/>
  <c r="AA18" i="7"/>
  <c r="Y18" i="7"/>
  <c r="AA17" i="7"/>
  <c r="Y17" i="7"/>
  <c r="AA11" i="7"/>
  <c r="Y11" i="7"/>
  <c r="AA10" i="7"/>
  <c r="Y10" i="7"/>
  <c r="W10" i="7"/>
  <c r="AA9" i="7"/>
  <c r="Y9" i="7"/>
  <c r="AA8" i="7"/>
  <c r="Y8" i="7"/>
  <c r="X8" i="7"/>
  <c r="W8" i="7"/>
  <c r="AA7" i="7"/>
  <c r="Y7" i="7"/>
  <c r="G43" i="7"/>
  <c r="B17" i="5" s="1"/>
  <c r="J17" i="5" s="1"/>
  <c r="E14" i="13" l="1"/>
  <c r="W18" i="7"/>
  <c r="X29" i="7"/>
  <c r="X11" i="7"/>
  <c r="X9" i="7"/>
  <c r="X7" i="7"/>
  <c r="X27" i="7"/>
  <c r="W21" i="7"/>
  <c r="W19" i="7"/>
  <c r="W17" i="7"/>
  <c r="S35" i="7"/>
  <c r="U43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M31" i="7"/>
  <c r="L31" i="7"/>
  <c r="K31" i="7"/>
  <c r="J31" i="7"/>
  <c r="N31" i="7" s="1"/>
  <c r="I31" i="7"/>
  <c r="M30" i="7"/>
  <c r="L30" i="7"/>
  <c r="K30" i="7"/>
  <c r="J30" i="7"/>
  <c r="N30" i="7" s="1"/>
  <c r="I30" i="7"/>
  <c r="M29" i="7"/>
  <c r="L29" i="7"/>
  <c r="K29" i="7"/>
  <c r="J29" i="7"/>
  <c r="N29" i="7" s="1"/>
  <c r="I29" i="7"/>
  <c r="M28" i="7"/>
  <c r="L28" i="7"/>
  <c r="K28" i="7"/>
  <c r="J28" i="7"/>
  <c r="N28" i="7" s="1"/>
  <c r="I28" i="7"/>
  <c r="K27" i="7"/>
  <c r="L27" i="7" s="1"/>
  <c r="J27" i="7"/>
  <c r="I27" i="7"/>
  <c r="I26" i="7"/>
  <c r="I25" i="7"/>
  <c r="M21" i="7"/>
  <c r="L21" i="7"/>
  <c r="K21" i="7"/>
  <c r="J21" i="7"/>
  <c r="N21" i="7" s="1"/>
  <c r="I21" i="7"/>
  <c r="M20" i="7"/>
  <c r="L20" i="7"/>
  <c r="K20" i="7"/>
  <c r="J20" i="7"/>
  <c r="N20" i="7" s="1"/>
  <c r="I20" i="7"/>
  <c r="M19" i="7"/>
  <c r="L19" i="7"/>
  <c r="K19" i="7"/>
  <c r="J19" i="7"/>
  <c r="N19" i="7" s="1"/>
  <c r="I19" i="7"/>
  <c r="M18" i="7"/>
  <c r="L18" i="7"/>
  <c r="K18" i="7"/>
  <c r="J18" i="7"/>
  <c r="N18" i="7" s="1"/>
  <c r="I18" i="7"/>
  <c r="M17" i="7"/>
  <c r="L17" i="7"/>
  <c r="K17" i="7"/>
  <c r="J17" i="7"/>
  <c r="N17" i="7" s="1"/>
  <c r="I17" i="7"/>
  <c r="I16" i="7"/>
  <c r="I15" i="7"/>
  <c r="M11" i="7"/>
  <c r="L11" i="7"/>
  <c r="K11" i="7"/>
  <c r="J11" i="7"/>
  <c r="N11" i="7" s="1"/>
  <c r="I11" i="7"/>
  <c r="M10" i="7"/>
  <c r="L10" i="7"/>
  <c r="K10" i="7"/>
  <c r="J10" i="7"/>
  <c r="N10" i="7" s="1"/>
  <c r="I10" i="7"/>
  <c r="M9" i="7"/>
  <c r="L9" i="7"/>
  <c r="K9" i="7"/>
  <c r="J9" i="7"/>
  <c r="N9" i="7" s="1"/>
  <c r="I9" i="7"/>
  <c r="M8" i="7"/>
  <c r="L8" i="7"/>
  <c r="K8" i="7"/>
  <c r="J8" i="7"/>
  <c r="N8" i="7" s="1"/>
  <c r="I8" i="7"/>
  <c r="M7" i="7"/>
  <c r="L7" i="7"/>
  <c r="K7" i="7"/>
  <c r="J7" i="7"/>
  <c r="N7" i="7" s="1"/>
  <c r="I7" i="7"/>
  <c r="I6" i="7"/>
  <c r="I5" i="7"/>
  <c r="G5" i="10"/>
  <c r="AF5" i="7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57" i="10"/>
  <c r="X58" i="10"/>
  <c r="M27" i="7" l="1"/>
  <c r="N27" i="7" s="1"/>
  <c r="R8" i="10"/>
  <c r="R9" i="10"/>
  <c r="R10" i="10"/>
  <c r="U10" i="10" s="1"/>
  <c r="R11" i="10"/>
  <c r="U11" i="10" s="1"/>
  <c r="R12" i="10"/>
  <c r="U12" i="10" s="1"/>
  <c r="R13" i="10"/>
  <c r="U13" i="10" s="1"/>
  <c r="R14" i="10"/>
  <c r="U14" i="10" s="1"/>
  <c r="R15" i="10"/>
  <c r="U15" i="10" s="1"/>
  <c r="R16" i="10"/>
  <c r="U16" i="10" s="1"/>
  <c r="R17" i="10"/>
  <c r="U17" i="10" s="1"/>
  <c r="R19" i="10"/>
  <c r="U19" i="10" s="1"/>
  <c r="R20" i="10"/>
  <c r="U20" i="10" s="1"/>
  <c r="R57" i="10"/>
  <c r="U57" i="10" s="1"/>
  <c r="R58" i="10"/>
  <c r="U58" i="10" s="1"/>
  <c r="O59" i="10"/>
  <c r="N59" i="10"/>
  <c r="A10" i="9"/>
  <c r="A11" i="9"/>
  <c r="A12" i="9"/>
  <c r="K5" i="9"/>
  <c r="K6" i="9" s="1"/>
  <c r="K7" i="9" s="1"/>
  <c r="J5" i="9"/>
  <c r="A5" i="9" s="1"/>
  <c r="K8" i="9"/>
  <c r="K9" i="9"/>
  <c r="K10" i="9"/>
  <c r="K11" i="9"/>
  <c r="K12" i="9"/>
  <c r="J7" i="9"/>
  <c r="J9" i="9"/>
  <c r="J10" i="9"/>
  <c r="J11" i="9"/>
  <c r="J12" i="9"/>
  <c r="J6" i="9"/>
  <c r="M72" i="10"/>
  <c r="H58" i="10"/>
  <c r="K58" i="10" s="1"/>
  <c r="H57" i="10"/>
  <c r="I57" i="10" s="1"/>
  <c r="J57" i="10" s="1"/>
  <c r="H20" i="10"/>
  <c r="I20" i="10" s="1"/>
  <c r="J20" i="10" s="1"/>
  <c r="H19" i="10"/>
  <c r="I19" i="10" s="1"/>
  <c r="J19" i="10" s="1"/>
  <c r="H17" i="10"/>
  <c r="I17" i="10" s="1"/>
  <c r="J17" i="10" s="1"/>
  <c r="H16" i="10"/>
  <c r="K16" i="10" s="1"/>
  <c r="H15" i="10"/>
  <c r="K15" i="10" s="1"/>
  <c r="H14" i="10"/>
  <c r="K14" i="10" s="1"/>
  <c r="H13" i="10"/>
  <c r="I13" i="10" s="1"/>
  <c r="J13" i="10" s="1"/>
  <c r="H12" i="10"/>
  <c r="K12" i="10" s="1"/>
  <c r="H11" i="10"/>
  <c r="I11" i="10" s="1"/>
  <c r="J11" i="10" s="1"/>
  <c r="F59" i="10"/>
  <c r="E59" i="10"/>
  <c r="S58" i="10"/>
  <c r="S57" i="10"/>
  <c r="S20" i="10"/>
  <c r="S19" i="10"/>
  <c r="S17" i="10"/>
  <c r="S16" i="10"/>
  <c r="S15" i="10"/>
  <c r="S14" i="10"/>
  <c r="S13" i="10"/>
  <c r="S12" i="10"/>
  <c r="S11" i="10"/>
  <c r="S10" i="10"/>
  <c r="S9" i="10"/>
  <c r="T14" i="10"/>
  <c r="T15" i="10"/>
  <c r="T17" i="10"/>
  <c r="T19" i="10"/>
  <c r="T20" i="10"/>
  <c r="T57" i="10"/>
  <c r="T58" i="10"/>
  <c r="T5" i="10"/>
  <c r="L5" i="10"/>
  <c r="G7" i="10"/>
  <c r="G8" i="10"/>
  <c r="Q8" i="10"/>
  <c r="G9" i="10"/>
  <c r="Q9" i="10"/>
  <c r="G10" i="10"/>
  <c r="Q10" i="10"/>
  <c r="G11" i="10"/>
  <c r="P11" i="10"/>
  <c r="Q11" i="10"/>
  <c r="G12" i="10"/>
  <c r="P12" i="10"/>
  <c r="Q12" i="10"/>
  <c r="K57" i="10" l="1"/>
  <c r="M57" i="10" s="1"/>
  <c r="I58" i="10"/>
  <c r="J58" i="10" s="1"/>
  <c r="M58" i="10" s="1"/>
  <c r="K11" i="10"/>
  <c r="I12" i="10"/>
  <c r="J12" i="10" s="1"/>
  <c r="K17" i="10"/>
  <c r="M17" i="10" s="1"/>
  <c r="L20" i="10" s="1"/>
  <c r="I15" i="10"/>
  <c r="J15" i="10" s="1"/>
  <c r="M15" i="10" s="1"/>
  <c r="K19" i="10"/>
  <c r="M19" i="10" s="1"/>
  <c r="K13" i="10"/>
  <c r="K20" i="10"/>
  <c r="I16" i="10"/>
  <c r="J16" i="10" s="1"/>
  <c r="I14" i="10"/>
  <c r="J14" i="10" s="1"/>
  <c r="M14" i="10" s="1"/>
  <c r="A9" i="9"/>
  <c r="M3" i="8"/>
  <c r="E76" i="10" s="1"/>
  <c r="A7" i="9"/>
  <c r="A6" i="9"/>
  <c r="J8" i="9"/>
  <c r="A8" i="9" s="1"/>
  <c r="S8" i="10"/>
  <c r="M20" i="10" l="1"/>
  <c r="E80" i="10"/>
  <c r="B10" i="5" s="1"/>
  <c r="N76" i="10"/>
  <c r="N80" i="10" s="1"/>
  <c r="F5" i="13"/>
  <c r="F16" i="13" s="1"/>
  <c r="H29" i="11"/>
  <c r="W29" i="11" s="1"/>
  <c r="B5" i="5"/>
  <c r="B5" i="14" s="1"/>
  <c r="J5" i="14" s="1"/>
  <c r="G39" i="7"/>
  <c r="U39" i="7" s="1"/>
  <c r="P3" i="8"/>
  <c r="M10" i="8"/>
  <c r="L76" i="10" s="1"/>
  <c r="L80" i="10" s="1"/>
  <c r="I10" i="5" s="1"/>
  <c r="M9" i="8"/>
  <c r="K76" i="10" s="1"/>
  <c r="M8" i="8"/>
  <c r="J76" i="10" s="1"/>
  <c r="M4" i="8"/>
  <c r="F76" i="10" s="1"/>
  <c r="M7" i="8"/>
  <c r="I76" i="10" s="1"/>
  <c r="I80" i="10" s="1"/>
  <c r="F10" i="5" s="1"/>
  <c r="M6" i="8"/>
  <c r="H76" i="10" s="1"/>
  <c r="H80" i="10" s="1"/>
  <c r="E10" i="5" s="1"/>
  <c r="M5" i="8"/>
  <c r="G76" i="10" s="1"/>
  <c r="P10" i="8"/>
  <c r="P8" i="8"/>
  <c r="P9" i="8"/>
  <c r="P7" i="8"/>
  <c r="P6" i="8"/>
  <c r="P5" i="8"/>
  <c r="P4" i="8"/>
  <c r="U8" i="10"/>
  <c r="T16" i="10" l="1"/>
  <c r="Q76" i="10"/>
  <c r="Q80" i="10" s="1"/>
  <c r="T76" i="10"/>
  <c r="T80" i="10" s="1"/>
  <c r="L5" i="13"/>
  <c r="L16" i="13" s="1"/>
  <c r="N29" i="11"/>
  <c r="N35" i="11" s="1"/>
  <c r="H5" i="5"/>
  <c r="H5" i="14" s="1"/>
  <c r="P5" i="14" s="1"/>
  <c r="M39" i="7"/>
  <c r="M45" i="7" s="1"/>
  <c r="J80" i="10"/>
  <c r="G10" i="5" s="1"/>
  <c r="K5" i="13"/>
  <c r="K16" i="13" s="1"/>
  <c r="G5" i="5"/>
  <c r="G5" i="14" s="1"/>
  <c r="O5" i="14" s="1"/>
  <c r="M29" i="11"/>
  <c r="M35" i="11" s="1"/>
  <c r="L39" i="7"/>
  <c r="L45" i="7" s="1"/>
  <c r="O76" i="10"/>
  <c r="G5" i="13"/>
  <c r="G16" i="13" s="1"/>
  <c r="C5" i="5"/>
  <c r="C5" i="14" s="1"/>
  <c r="K5" i="14" s="1"/>
  <c r="I29" i="11"/>
  <c r="X29" i="11" s="1"/>
  <c r="H39" i="7"/>
  <c r="F80" i="10"/>
  <c r="C10" i="5" s="1"/>
  <c r="U76" i="10"/>
  <c r="U80" i="10" s="1"/>
  <c r="M5" i="13"/>
  <c r="M16" i="13" s="1"/>
  <c r="I5" i="5"/>
  <c r="O29" i="11"/>
  <c r="O35" i="11" s="1"/>
  <c r="N39" i="7"/>
  <c r="N45" i="7" s="1"/>
  <c r="I5" i="13"/>
  <c r="I16" i="13" s="1"/>
  <c r="E5" i="5"/>
  <c r="E5" i="14" s="1"/>
  <c r="M5" i="14" s="1"/>
  <c r="K29" i="11"/>
  <c r="K35" i="11" s="1"/>
  <c r="J39" i="7"/>
  <c r="J45" i="7" s="1"/>
  <c r="R76" i="10"/>
  <c r="R80" i="10" s="1"/>
  <c r="J5" i="13"/>
  <c r="J16" i="13" s="1"/>
  <c r="L29" i="11"/>
  <c r="L35" i="11" s="1"/>
  <c r="F5" i="5"/>
  <c r="F5" i="14" s="1"/>
  <c r="N5" i="14" s="1"/>
  <c r="K39" i="7"/>
  <c r="K45" i="7" s="1"/>
  <c r="P76" i="10"/>
  <c r="P80" i="10" s="1"/>
  <c r="H5" i="13"/>
  <c r="H16" i="13" s="1"/>
  <c r="J29" i="11"/>
  <c r="J35" i="11" s="1"/>
  <c r="D5" i="5"/>
  <c r="D5" i="14" s="1"/>
  <c r="L5" i="14" s="1"/>
  <c r="I39" i="7"/>
  <c r="G80" i="10"/>
  <c r="D10" i="5" s="1"/>
  <c r="S76" i="10"/>
  <c r="S80" i="10" s="1"/>
  <c r="K80" i="10"/>
  <c r="H10" i="5" s="1"/>
  <c r="B59" i="7"/>
  <c r="B58" i="7"/>
  <c r="V39" i="7" l="1"/>
  <c r="J10" i="5"/>
  <c r="Y29" i="11"/>
  <c r="Z39" i="7"/>
  <c r="AA29" i="11"/>
  <c r="X39" i="7"/>
  <c r="AB39" i="7"/>
  <c r="AB29" i="11"/>
  <c r="AA39" i="7"/>
  <c r="W39" i="7"/>
  <c r="Z29" i="11"/>
  <c r="AD29" i="11"/>
  <c r="Y39" i="7"/>
  <c r="O80" i="10"/>
  <c r="AC29" i="11"/>
  <c r="E35" i="7"/>
  <c r="A16" i="9" l="1"/>
  <c r="P58" i="10"/>
  <c r="P57" i="10"/>
  <c r="P20" i="10"/>
  <c r="P19" i="10"/>
  <c r="P17" i="10"/>
  <c r="P16" i="10"/>
  <c r="P15" i="10"/>
  <c r="P14" i="10"/>
  <c r="P13" i="10"/>
  <c r="G58" i="10"/>
  <c r="G57" i="10"/>
  <c r="G20" i="10"/>
  <c r="G19" i="10"/>
  <c r="G18" i="10"/>
  <c r="G17" i="10"/>
  <c r="G16" i="10"/>
  <c r="G15" i="10"/>
  <c r="G14" i="10"/>
  <c r="G13" i="10"/>
  <c r="G6" i="10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6" i="4"/>
  <c r="G7" i="4"/>
  <c r="G8" i="4"/>
  <c r="G9" i="4"/>
  <c r="G10" i="4"/>
  <c r="G11" i="4"/>
  <c r="G12" i="4"/>
  <c r="G13" i="4"/>
  <c r="G14" i="4"/>
  <c r="G15" i="4"/>
  <c r="G16" i="4"/>
  <c r="G17" i="4"/>
  <c r="G5" i="4"/>
  <c r="G59" i="10" l="1"/>
  <c r="M53" i="4" l="1"/>
  <c r="M57" i="4" s="1"/>
  <c r="L53" i="4"/>
  <c r="L57" i="4" s="1"/>
  <c r="K53" i="4"/>
  <c r="K57" i="4" s="1"/>
  <c r="P6" i="4" l="1"/>
  <c r="P7" i="4"/>
  <c r="P8" i="4"/>
  <c r="P9" i="4"/>
  <c r="P10" i="4"/>
  <c r="P11" i="4"/>
  <c r="P12" i="4"/>
  <c r="P13" i="4"/>
  <c r="P14" i="4"/>
  <c r="P15" i="4"/>
  <c r="P16" i="4"/>
  <c r="P17" i="4"/>
  <c r="L54" i="4"/>
  <c r="K54" i="4"/>
  <c r="J53" i="4"/>
  <c r="J57" i="4" s="1"/>
  <c r="I53" i="4"/>
  <c r="I57" i="4" s="1"/>
  <c r="H53" i="4"/>
  <c r="H57" i="4" s="1"/>
  <c r="G53" i="4"/>
  <c r="G57" i="4" s="1"/>
  <c r="K55" i="4"/>
  <c r="L55" i="4"/>
  <c r="M55" i="4"/>
  <c r="H36" i="4"/>
  <c r="H35" i="4"/>
  <c r="H34" i="4"/>
  <c r="H33" i="4"/>
  <c r="H32" i="4"/>
  <c r="H31" i="4"/>
  <c r="H30" i="4"/>
  <c r="H29" i="4"/>
  <c r="H28" i="4"/>
  <c r="H27" i="4"/>
  <c r="H26" i="4"/>
  <c r="H25" i="4"/>
  <c r="X5" i="10"/>
  <c r="H17" i="4"/>
  <c r="H16" i="4"/>
  <c r="H15" i="4"/>
  <c r="H14" i="4"/>
  <c r="H13" i="4"/>
  <c r="H12" i="4"/>
  <c r="H11" i="4"/>
  <c r="H10" i="4"/>
  <c r="H9" i="4"/>
  <c r="H8" i="4"/>
  <c r="H7" i="4"/>
  <c r="H6" i="4"/>
  <c r="P5" i="4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17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I3" i="8" l="1"/>
  <c r="K6" i="11"/>
  <c r="Z16" i="11"/>
  <c r="Z6" i="11"/>
  <c r="K16" i="11"/>
  <c r="X16" i="7"/>
  <c r="X26" i="7"/>
  <c r="X6" i="7"/>
  <c r="J16" i="7"/>
  <c r="J26" i="7"/>
  <c r="K26" i="7" s="1"/>
  <c r="J6" i="7"/>
  <c r="P8" i="10"/>
  <c r="H8" i="10"/>
  <c r="H9" i="10"/>
  <c r="P9" i="10"/>
  <c r="H18" i="10"/>
  <c r="H6" i="10"/>
  <c r="P6" i="10"/>
  <c r="S6" i="10" s="1"/>
  <c r="P18" i="10"/>
  <c r="S18" i="10" s="1"/>
  <c r="I29" i="8"/>
  <c r="I24" i="8"/>
  <c r="I22" i="8"/>
  <c r="I9" i="8"/>
  <c r="I21" i="8"/>
  <c r="I31" i="8"/>
  <c r="I32" i="8"/>
  <c r="I20" i="8"/>
  <c r="I8" i="8"/>
  <c r="I33" i="8"/>
  <c r="I6" i="8"/>
  <c r="I12" i="8"/>
  <c r="I30" i="8"/>
  <c r="I25" i="8"/>
  <c r="I18" i="8"/>
  <c r="I19" i="8"/>
  <c r="I23" i="8"/>
  <c r="I11" i="8"/>
  <c r="I37" i="8"/>
  <c r="I10" i="8"/>
  <c r="I36" i="8"/>
  <c r="I34" i="8"/>
  <c r="I7" i="8"/>
  <c r="I4" i="8"/>
  <c r="I5" i="8"/>
  <c r="I35" i="8"/>
  <c r="I17" i="8"/>
  <c r="N57" i="4"/>
  <c r="I62" i="8"/>
  <c r="I54" i="8"/>
  <c r="I40" i="8"/>
  <c r="I50" i="8"/>
  <c r="I16" i="8"/>
  <c r="I47" i="8"/>
  <c r="I55" i="8"/>
  <c r="I49" i="8"/>
  <c r="I44" i="8"/>
  <c r="I58" i="8"/>
  <c r="I41" i="8"/>
  <c r="I56" i="8"/>
  <c r="I43" i="8"/>
  <c r="I63" i="8"/>
  <c r="I65" i="8"/>
  <c r="I48" i="8"/>
  <c r="I28" i="8"/>
  <c r="I61" i="8"/>
  <c r="I57" i="8"/>
  <c r="I51" i="8"/>
  <c r="I64" i="8"/>
  <c r="I42" i="8"/>
  <c r="M54" i="4"/>
  <c r="B3" i="3"/>
  <c r="K16" i="7" l="1"/>
  <c r="L16" i="7" s="1"/>
  <c r="M16" i="7"/>
  <c r="N16" i="11"/>
  <c r="L16" i="11"/>
  <c r="M16" i="11" s="1"/>
  <c r="O16" i="11" s="1"/>
  <c r="Y6" i="7"/>
  <c r="AA6" i="7"/>
  <c r="AC6" i="11"/>
  <c r="AA6" i="11"/>
  <c r="K8" i="10"/>
  <c r="I8" i="10"/>
  <c r="J8" i="10" s="1"/>
  <c r="M6" i="7"/>
  <c r="K6" i="7"/>
  <c r="Y26" i="7"/>
  <c r="Z26" i="7" s="1"/>
  <c r="AA26" i="7"/>
  <c r="AA16" i="11"/>
  <c r="AB16" i="11" s="1"/>
  <c r="AC16" i="11"/>
  <c r="K9" i="10"/>
  <c r="I9" i="10"/>
  <c r="J9" i="10" s="1"/>
  <c r="M26" i="7"/>
  <c r="L26" i="7"/>
  <c r="Y16" i="7"/>
  <c r="Z16" i="7" s="1"/>
  <c r="AA16" i="7"/>
  <c r="L6" i="11"/>
  <c r="N6" i="11"/>
  <c r="I6" i="10"/>
  <c r="J6" i="10" s="1"/>
  <c r="K6" i="10"/>
  <c r="I18" i="10"/>
  <c r="K18" i="10"/>
  <c r="AD16" i="11" l="1"/>
  <c r="AB26" i="7"/>
  <c r="N26" i="7"/>
  <c r="M6" i="11"/>
  <c r="O6" i="11" s="1"/>
  <c r="AI6" i="11" s="1"/>
  <c r="X32" i="11"/>
  <c r="Z6" i="7"/>
  <c r="N16" i="7"/>
  <c r="AB16" i="7"/>
  <c r="L6" i="7"/>
  <c r="AB6" i="11"/>
  <c r="X30" i="11"/>
  <c r="J18" i="10"/>
  <c r="J54" i="4"/>
  <c r="C59" i="9"/>
  <c r="B66" i="3"/>
  <c r="B65" i="3"/>
  <c r="B63" i="3"/>
  <c r="B62" i="3"/>
  <c r="B59" i="2"/>
  <c r="B58" i="2"/>
  <c r="B56" i="2"/>
  <c r="B55" i="2"/>
  <c r="M13" i="10" l="1"/>
  <c r="N6" i="7"/>
  <c r="AD6" i="11"/>
  <c r="AB6" i="7"/>
  <c r="J55" i="4"/>
  <c r="C34" i="3"/>
  <c r="D65" i="4" l="1"/>
  <c r="D64" i="4"/>
  <c r="D62" i="4"/>
  <c r="D61" i="4"/>
  <c r="M49" i="4"/>
  <c r="E57" i="4" s="1"/>
  <c r="H49" i="4"/>
  <c r="D57" i="4" s="1"/>
  <c r="I37" i="4"/>
  <c r="F37" i="4"/>
  <c r="M36" i="4"/>
  <c r="K36" i="4"/>
  <c r="E36" i="4"/>
  <c r="D36" i="4"/>
  <c r="C36" i="4"/>
  <c r="L36" i="4" s="1"/>
  <c r="B36" i="4"/>
  <c r="A36" i="4"/>
  <c r="M35" i="4"/>
  <c r="K35" i="4"/>
  <c r="E35" i="4"/>
  <c r="D35" i="4"/>
  <c r="C35" i="4"/>
  <c r="L35" i="4" s="1"/>
  <c r="B35" i="4"/>
  <c r="A35" i="4"/>
  <c r="M34" i="4"/>
  <c r="K34" i="4"/>
  <c r="E34" i="4"/>
  <c r="D34" i="4"/>
  <c r="C34" i="4"/>
  <c r="L34" i="4" s="1"/>
  <c r="B34" i="4"/>
  <c r="A34" i="4"/>
  <c r="M33" i="4"/>
  <c r="K33" i="4"/>
  <c r="E33" i="4"/>
  <c r="D33" i="4"/>
  <c r="C33" i="4"/>
  <c r="L33" i="4" s="1"/>
  <c r="B33" i="4"/>
  <c r="A33" i="4"/>
  <c r="M32" i="4"/>
  <c r="K32" i="4"/>
  <c r="E32" i="4"/>
  <c r="D32" i="4"/>
  <c r="C32" i="4"/>
  <c r="L32" i="4" s="1"/>
  <c r="B32" i="4"/>
  <c r="A32" i="4"/>
  <c r="M31" i="4"/>
  <c r="K31" i="4"/>
  <c r="E31" i="4"/>
  <c r="D31" i="4"/>
  <c r="C31" i="4"/>
  <c r="L31" i="4" s="1"/>
  <c r="B31" i="4"/>
  <c r="A31" i="4"/>
  <c r="M30" i="4"/>
  <c r="K30" i="4"/>
  <c r="E30" i="4"/>
  <c r="D30" i="4"/>
  <c r="C30" i="4"/>
  <c r="L30" i="4" s="1"/>
  <c r="B30" i="4"/>
  <c r="A30" i="4"/>
  <c r="M29" i="4"/>
  <c r="K29" i="4"/>
  <c r="E29" i="4"/>
  <c r="D29" i="4"/>
  <c r="C29" i="4"/>
  <c r="L29" i="4" s="1"/>
  <c r="B29" i="4"/>
  <c r="A29" i="4"/>
  <c r="E28" i="4"/>
  <c r="D28" i="4"/>
  <c r="C28" i="4"/>
  <c r="L28" i="4" s="1"/>
  <c r="B28" i="4"/>
  <c r="A28" i="4"/>
  <c r="E27" i="4"/>
  <c r="D27" i="4"/>
  <c r="C27" i="4"/>
  <c r="L27" i="4" s="1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F18" i="4"/>
  <c r="M17" i="4"/>
  <c r="L17" i="4"/>
  <c r="K17" i="4"/>
  <c r="J36" i="4"/>
  <c r="G36" i="4"/>
  <c r="M16" i="4"/>
  <c r="L16" i="4"/>
  <c r="K16" i="4"/>
  <c r="J35" i="4"/>
  <c r="G35" i="4"/>
  <c r="M15" i="4"/>
  <c r="L15" i="4"/>
  <c r="K15" i="4"/>
  <c r="J34" i="4"/>
  <c r="G34" i="4"/>
  <c r="M14" i="4"/>
  <c r="L14" i="4"/>
  <c r="K14" i="4"/>
  <c r="J33" i="4"/>
  <c r="G33" i="4"/>
  <c r="M13" i="4"/>
  <c r="L13" i="4"/>
  <c r="K13" i="4"/>
  <c r="J32" i="4"/>
  <c r="G32" i="4"/>
  <c r="M12" i="4"/>
  <c r="L12" i="4"/>
  <c r="K12" i="4"/>
  <c r="J31" i="4"/>
  <c r="G31" i="4"/>
  <c r="M11" i="4"/>
  <c r="L11" i="4"/>
  <c r="K11" i="4"/>
  <c r="J30" i="4"/>
  <c r="G30" i="4"/>
  <c r="M10" i="4"/>
  <c r="L10" i="4"/>
  <c r="K10" i="4"/>
  <c r="J29" i="4"/>
  <c r="G29" i="4"/>
  <c r="L9" i="4"/>
  <c r="K9" i="4"/>
  <c r="G28" i="4"/>
  <c r="L8" i="4"/>
  <c r="J27" i="4"/>
  <c r="K27" i="4" s="1"/>
  <c r="G27" i="4"/>
  <c r="L5" i="4"/>
  <c r="H5" i="4"/>
  <c r="K56" i="4" l="1"/>
  <c r="L56" i="4"/>
  <c r="M56" i="4"/>
  <c r="J56" i="4"/>
  <c r="G24" i="4"/>
  <c r="H24" i="4" s="1"/>
  <c r="G25" i="4"/>
  <c r="G26" i="4"/>
  <c r="M9" i="4"/>
  <c r="M27" i="4"/>
  <c r="J28" i="4"/>
  <c r="K28" i="4" s="1"/>
  <c r="M28" i="4" s="1"/>
  <c r="K8" i="4"/>
  <c r="M8" i="4" s="1"/>
  <c r="M58" i="4" l="1"/>
  <c r="L58" i="4"/>
  <c r="K58" i="4"/>
  <c r="J58" i="4"/>
  <c r="H18" i="4"/>
  <c r="H37" i="4"/>
  <c r="D56" i="4" s="1"/>
  <c r="L6" i="4"/>
  <c r="D54" i="4" l="1"/>
  <c r="H19" i="4"/>
  <c r="L7" i="4"/>
  <c r="D55" i="4" l="1"/>
  <c r="H20" i="4"/>
  <c r="L24" i="4"/>
  <c r="D58" i="4" l="1"/>
  <c r="L26" i="4"/>
  <c r="Q58" i="10" l="1"/>
  <c r="Q57" i="10"/>
  <c r="Q20" i="10"/>
  <c r="Q19" i="10"/>
  <c r="Q18" i="10"/>
  <c r="Q16" i="10"/>
  <c r="Q15" i="10"/>
  <c r="F16" i="9"/>
  <c r="Z5" i="11" l="1"/>
  <c r="K15" i="11"/>
  <c r="Z15" i="11"/>
  <c r="K5" i="11"/>
  <c r="X25" i="7"/>
  <c r="X15" i="7"/>
  <c r="X5" i="7"/>
  <c r="J25" i="7"/>
  <c r="J15" i="7"/>
  <c r="J5" i="7"/>
  <c r="H5" i="10"/>
  <c r="H10" i="10"/>
  <c r="P10" i="10"/>
  <c r="R18" i="10"/>
  <c r="P5" i="10"/>
  <c r="P7" i="10"/>
  <c r="H7" i="10"/>
  <c r="J26" i="4"/>
  <c r="K26" i="4" s="1"/>
  <c r="M26" i="4" s="1"/>
  <c r="K7" i="4"/>
  <c r="M7" i="4" s="1"/>
  <c r="J25" i="4"/>
  <c r="K25" i="4" s="1"/>
  <c r="K6" i="4"/>
  <c r="M6" i="4" s="1"/>
  <c r="H54" i="4" s="1"/>
  <c r="Q14" i="10"/>
  <c r="C99" i="10"/>
  <c r="C98" i="10"/>
  <c r="U72" i="10"/>
  <c r="Q17" i="10"/>
  <c r="K10" i="10" l="1"/>
  <c r="I10" i="10"/>
  <c r="J10" i="10" s="1"/>
  <c r="L5" i="11"/>
  <c r="N5" i="11"/>
  <c r="K5" i="10"/>
  <c r="I5" i="10"/>
  <c r="Y5" i="7"/>
  <c r="AA5" i="7"/>
  <c r="AC15" i="11"/>
  <c r="AA15" i="11"/>
  <c r="AB15" i="11" s="1"/>
  <c r="AD15" i="11" s="1"/>
  <c r="AF15" i="11" s="1"/>
  <c r="K25" i="7"/>
  <c r="L25" i="7" s="1"/>
  <c r="M25" i="7"/>
  <c r="M5" i="7"/>
  <c r="K5" i="7"/>
  <c r="Y15" i="7"/>
  <c r="Z15" i="7" s="1"/>
  <c r="AA15" i="7"/>
  <c r="L15" i="11"/>
  <c r="M15" i="11" s="1"/>
  <c r="N15" i="11"/>
  <c r="M15" i="7"/>
  <c r="K15" i="7"/>
  <c r="L15" i="7" s="1"/>
  <c r="Y25" i="7"/>
  <c r="Z25" i="7" s="1"/>
  <c r="AA25" i="7"/>
  <c r="AA5" i="11"/>
  <c r="AC5" i="11"/>
  <c r="S7" i="10"/>
  <c r="Q7" i="10"/>
  <c r="R7" i="10" s="1"/>
  <c r="U7" i="10" s="1"/>
  <c r="P59" i="10"/>
  <c r="S5" i="10"/>
  <c r="Q5" i="10"/>
  <c r="K7" i="10"/>
  <c r="I7" i="10"/>
  <c r="J7" i="10" s="1"/>
  <c r="H59" i="10"/>
  <c r="H55" i="4"/>
  <c r="I55" i="4"/>
  <c r="K5" i="4"/>
  <c r="M5" i="4" s="1"/>
  <c r="G54" i="4" s="1"/>
  <c r="J24" i="4"/>
  <c r="K24" i="4" s="1"/>
  <c r="M24" i="4" s="1"/>
  <c r="G56" i="4" s="1"/>
  <c r="T12" i="10" l="1"/>
  <c r="T13" i="10"/>
  <c r="O15" i="11"/>
  <c r="W32" i="11"/>
  <c r="Y32" i="11"/>
  <c r="AD32" i="11"/>
  <c r="AB32" i="11"/>
  <c r="AC32" i="11"/>
  <c r="AA32" i="11"/>
  <c r="Z32" i="11"/>
  <c r="AB30" i="11"/>
  <c r="Y30" i="11"/>
  <c r="AD30" i="11"/>
  <c r="AA30" i="11"/>
  <c r="AC30" i="11"/>
  <c r="Z30" i="11"/>
  <c r="J32" i="11"/>
  <c r="D23" i="5" s="1"/>
  <c r="L32" i="11"/>
  <c r="F23" i="5" s="1"/>
  <c r="K32" i="11"/>
  <c r="E23" i="5" s="1"/>
  <c r="M32" i="11"/>
  <c r="G23" i="5" s="1"/>
  <c r="O32" i="11"/>
  <c r="I23" i="5" s="1"/>
  <c r="N32" i="11"/>
  <c r="H23" i="5" s="1"/>
  <c r="I32" i="11"/>
  <c r="C23" i="5" s="1"/>
  <c r="K30" i="11"/>
  <c r="O30" i="11"/>
  <c r="L30" i="11"/>
  <c r="M30" i="11"/>
  <c r="N30" i="11"/>
  <c r="J30" i="11"/>
  <c r="I30" i="11"/>
  <c r="Z42" i="7"/>
  <c r="AA42" i="7"/>
  <c r="AB42" i="7"/>
  <c r="Y42" i="7"/>
  <c r="W42" i="7"/>
  <c r="X42" i="7"/>
  <c r="V42" i="7"/>
  <c r="L40" i="7"/>
  <c r="N40" i="7"/>
  <c r="K40" i="7"/>
  <c r="I40" i="7"/>
  <c r="J40" i="7"/>
  <c r="M40" i="7"/>
  <c r="H40" i="7"/>
  <c r="Y40" i="7"/>
  <c r="AA40" i="7"/>
  <c r="W40" i="7"/>
  <c r="X40" i="7"/>
  <c r="Z40" i="7"/>
  <c r="AB40" i="7"/>
  <c r="V40" i="7"/>
  <c r="M42" i="7"/>
  <c r="H16" i="5" s="1"/>
  <c r="N42" i="7"/>
  <c r="I16" i="5" s="1"/>
  <c r="K42" i="7"/>
  <c r="F16" i="5" s="1"/>
  <c r="L42" i="7"/>
  <c r="G16" i="5" s="1"/>
  <c r="J42" i="7"/>
  <c r="E16" i="5" s="1"/>
  <c r="I42" i="7"/>
  <c r="D16" i="5" s="1"/>
  <c r="H42" i="7"/>
  <c r="C16" i="5" s="1"/>
  <c r="J5" i="10"/>
  <c r="F77" i="10"/>
  <c r="H77" i="10"/>
  <c r="J77" i="10"/>
  <c r="I77" i="10"/>
  <c r="G77" i="10"/>
  <c r="K77" i="10"/>
  <c r="J79" i="10"/>
  <c r="G9" i="5" s="1"/>
  <c r="I79" i="10"/>
  <c r="F9" i="5" s="1"/>
  <c r="H79" i="10"/>
  <c r="E9" i="5" s="1"/>
  <c r="L79" i="10"/>
  <c r="I9" i="5" s="1"/>
  <c r="F79" i="10"/>
  <c r="C9" i="5" s="1"/>
  <c r="G79" i="10"/>
  <c r="D9" i="5" s="1"/>
  <c r="K79" i="10"/>
  <c r="H9" i="5" s="1"/>
  <c r="O79" i="10"/>
  <c r="T79" i="10"/>
  <c r="Q79" i="10"/>
  <c r="R79" i="10"/>
  <c r="S79" i="10"/>
  <c r="U79" i="10"/>
  <c r="P79" i="10"/>
  <c r="AB15" i="7"/>
  <c r="AD15" i="7" s="1"/>
  <c r="N25" i="7"/>
  <c r="U42" i="7"/>
  <c r="H32" i="11"/>
  <c r="B23" i="5" s="1"/>
  <c r="N15" i="7"/>
  <c r="L5" i="7"/>
  <c r="G40" i="7"/>
  <c r="B14" i="5" s="1"/>
  <c r="Z5" i="7"/>
  <c r="U40" i="7"/>
  <c r="M5" i="11"/>
  <c r="O5" i="11" s="1"/>
  <c r="AI5" i="11" s="1"/>
  <c r="H30" i="11"/>
  <c r="B21" i="5" s="1"/>
  <c r="G42" i="7"/>
  <c r="B16" i="5" s="1"/>
  <c r="AB5" i="11"/>
  <c r="W30" i="11"/>
  <c r="AB25" i="7"/>
  <c r="AD25" i="7" s="1"/>
  <c r="S59" i="10"/>
  <c r="N79" i="10"/>
  <c r="R5" i="10"/>
  <c r="K59" i="10"/>
  <c r="E79" i="10"/>
  <c r="B9" i="5" s="1"/>
  <c r="E77" i="10"/>
  <c r="B7" i="5" s="1"/>
  <c r="I59" i="10"/>
  <c r="I54" i="4"/>
  <c r="I56" i="4"/>
  <c r="G55" i="4"/>
  <c r="N55" i="4" s="1"/>
  <c r="L25" i="4"/>
  <c r="M25" i="4" s="1"/>
  <c r="M18" i="4"/>
  <c r="E54" i="4" s="1"/>
  <c r="P15" i="7" l="1"/>
  <c r="AG19" i="7" s="1"/>
  <c r="P25" i="7"/>
  <c r="AG33" i="7" s="1"/>
  <c r="AB31" i="11"/>
  <c r="AB34" i="11" s="1"/>
  <c r="Y31" i="11"/>
  <c r="Y34" i="11" s="1"/>
  <c r="AA31" i="11"/>
  <c r="AA34" i="11" s="1"/>
  <c r="AD31" i="11"/>
  <c r="AD34" i="11" s="1"/>
  <c r="Z31" i="11"/>
  <c r="Z34" i="11" s="1"/>
  <c r="AC31" i="11"/>
  <c r="AC34" i="11" s="1"/>
  <c r="X31" i="11"/>
  <c r="X34" i="11" s="1"/>
  <c r="G21" i="5"/>
  <c r="C21" i="5"/>
  <c r="F21" i="5"/>
  <c r="H21" i="5"/>
  <c r="E21" i="5"/>
  <c r="H31" i="11"/>
  <c r="B22" i="5" s="1"/>
  <c r="N31" i="11"/>
  <c r="H22" i="5" s="1"/>
  <c r="K31" i="11"/>
  <c r="E22" i="5" s="1"/>
  <c r="J31" i="11"/>
  <c r="D22" i="5" s="1"/>
  <c r="M31" i="11"/>
  <c r="G22" i="5" s="1"/>
  <c r="L31" i="11"/>
  <c r="F22" i="5" s="1"/>
  <c r="O31" i="11"/>
  <c r="I22" i="5" s="1"/>
  <c r="I31" i="11"/>
  <c r="C22" i="5" s="1"/>
  <c r="D21" i="5"/>
  <c r="I21" i="5"/>
  <c r="E14" i="5"/>
  <c r="U41" i="7"/>
  <c r="U44" i="7" s="1"/>
  <c r="W41" i="7"/>
  <c r="W44" i="7" s="1"/>
  <c r="X41" i="7"/>
  <c r="X44" i="7" s="1"/>
  <c r="AA41" i="7"/>
  <c r="AA44" i="7" s="1"/>
  <c r="AB41" i="7"/>
  <c r="AB44" i="7" s="1"/>
  <c r="Y41" i="7"/>
  <c r="Y44" i="7" s="1"/>
  <c r="Z41" i="7"/>
  <c r="Z44" i="7" s="1"/>
  <c r="V41" i="7"/>
  <c r="V44" i="7" s="1"/>
  <c r="D14" i="5"/>
  <c r="C14" i="5"/>
  <c r="F14" i="5"/>
  <c r="G14" i="5"/>
  <c r="J41" i="7"/>
  <c r="E15" i="5" s="1"/>
  <c r="M41" i="7"/>
  <c r="H15" i="5" s="1"/>
  <c r="I41" i="7"/>
  <c r="D15" i="5" s="1"/>
  <c r="K41" i="7"/>
  <c r="F15" i="5" s="1"/>
  <c r="L41" i="7"/>
  <c r="G15" i="5" s="1"/>
  <c r="N41" i="7"/>
  <c r="I15" i="5" s="1"/>
  <c r="H41" i="7"/>
  <c r="C15" i="5" s="1"/>
  <c r="H14" i="5"/>
  <c r="I14" i="5"/>
  <c r="G7" i="5"/>
  <c r="H7" i="5"/>
  <c r="E7" i="5"/>
  <c r="D7" i="5"/>
  <c r="C7" i="5"/>
  <c r="F7" i="5"/>
  <c r="K78" i="10"/>
  <c r="H8" i="5" s="1"/>
  <c r="L78" i="10"/>
  <c r="I8" i="5" s="1"/>
  <c r="F78" i="10"/>
  <c r="C8" i="5" s="1"/>
  <c r="J78" i="10"/>
  <c r="G8" i="5" s="1"/>
  <c r="I78" i="10"/>
  <c r="F8" i="5" s="1"/>
  <c r="H78" i="10"/>
  <c r="E8" i="5" s="1"/>
  <c r="L77" i="10"/>
  <c r="G78" i="10"/>
  <c r="D8" i="5" s="1"/>
  <c r="J16" i="5"/>
  <c r="J9" i="5"/>
  <c r="J23" i="5"/>
  <c r="Q15" i="11"/>
  <c r="AI24" i="11" s="1"/>
  <c r="G41" i="7"/>
  <c r="N5" i="7"/>
  <c r="W31" i="11"/>
  <c r="W34" i="11" s="1"/>
  <c r="AD5" i="11"/>
  <c r="AB5" i="7"/>
  <c r="U5" i="10"/>
  <c r="E78" i="10"/>
  <c r="B8" i="5" s="1"/>
  <c r="M5" i="10"/>
  <c r="J59" i="10"/>
  <c r="N54" i="4"/>
  <c r="G58" i="4"/>
  <c r="I58" i="4"/>
  <c r="H56" i="4"/>
  <c r="N56" i="4" s="1"/>
  <c r="M37" i="4"/>
  <c r="E56" i="4" s="1"/>
  <c r="M19" i="4"/>
  <c r="E55" i="4" s="1"/>
  <c r="Q13" i="10"/>
  <c r="Q6" i="10"/>
  <c r="B13" i="3"/>
  <c r="B12" i="3"/>
  <c r="B11" i="3"/>
  <c r="B10" i="3"/>
  <c r="B9" i="3"/>
  <c r="B8" i="3"/>
  <c r="B7" i="3"/>
  <c r="B6" i="3"/>
  <c r="B5" i="3"/>
  <c r="B4" i="3"/>
  <c r="AG18" i="7" l="1"/>
  <c r="AG17" i="7"/>
  <c r="AG20" i="7"/>
  <c r="AG24" i="7"/>
  <c r="AG23" i="7"/>
  <c r="AG16" i="7"/>
  <c r="AG21" i="7"/>
  <c r="AG22" i="7"/>
  <c r="AG15" i="7"/>
  <c r="AI23" i="11"/>
  <c r="AG34" i="7"/>
  <c r="AI22" i="11"/>
  <c r="AG30" i="7"/>
  <c r="AG25" i="7"/>
  <c r="AG26" i="7"/>
  <c r="AG27" i="7"/>
  <c r="AG28" i="7"/>
  <c r="AG29" i="7"/>
  <c r="AG31" i="7"/>
  <c r="AG32" i="7"/>
  <c r="AI16" i="11"/>
  <c r="AI17" i="11"/>
  <c r="AI18" i="11"/>
  <c r="AI15" i="11"/>
  <c r="AI19" i="11"/>
  <c r="AI20" i="11"/>
  <c r="AI21" i="11"/>
  <c r="N77" i="10"/>
  <c r="O34" i="11"/>
  <c r="I25" i="5" s="1"/>
  <c r="J34" i="11"/>
  <c r="D25" i="5" s="1"/>
  <c r="I34" i="11"/>
  <c r="C25" i="5" s="1"/>
  <c r="J22" i="5"/>
  <c r="J21" i="5"/>
  <c r="K34" i="11"/>
  <c r="E25" i="5" s="1"/>
  <c r="L34" i="11"/>
  <c r="F25" i="5" s="1"/>
  <c r="M34" i="11"/>
  <c r="G25" i="5" s="1"/>
  <c r="N34" i="11"/>
  <c r="H25" i="5" s="1"/>
  <c r="H34" i="11"/>
  <c r="B25" i="5" s="1"/>
  <c r="J14" i="5"/>
  <c r="K44" i="7"/>
  <c r="F18" i="5" s="1"/>
  <c r="I44" i="7"/>
  <c r="D18" i="5" s="1"/>
  <c r="M44" i="7"/>
  <c r="H18" i="5" s="1"/>
  <c r="H44" i="7"/>
  <c r="C18" i="5" s="1"/>
  <c r="J44" i="7"/>
  <c r="E18" i="5" s="1"/>
  <c r="N44" i="7"/>
  <c r="I18" i="5" s="1"/>
  <c r="L44" i="7"/>
  <c r="G18" i="5" s="1"/>
  <c r="I81" i="10"/>
  <c r="F11" i="5" s="1"/>
  <c r="G81" i="10"/>
  <c r="D11" i="5" s="1"/>
  <c r="K81" i="10"/>
  <c r="H11" i="5" s="1"/>
  <c r="O77" i="10"/>
  <c r="I7" i="5"/>
  <c r="J7" i="5" s="1"/>
  <c r="L81" i="10"/>
  <c r="I11" i="5" s="1"/>
  <c r="F81" i="10"/>
  <c r="C11" i="5" s="1"/>
  <c r="H81" i="10"/>
  <c r="E11" i="5" s="1"/>
  <c r="J81" i="10"/>
  <c r="G11" i="5" s="1"/>
  <c r="J8" i="5"/>
  <c r="G44" i="7"/>
  <c r="B18" i="5" s="1"/>
  <c r="B15" i="5"/>
  <c r="AD25" i="11"/>
  <c r="AF5" i="11"/>
  <c r="AF25" i="11" s="1"/>
  <c r="AB35" i="7"/>
  <c r="AD5" i="7"/>
  <c r="Q5" i="11"/>
  <c r="Q25" i="11" s="1"/>
  <c r="O25" i="11"/>
  <c r="N35" i="7"/>
  <c r="P5" i="7"/>
  <c r="AG5" i="7" s="1"/>
  <c r="P77" i="10"/>
  <c r="R77" i="10"/>
  <c r="T77" i="10"/>
  <c r="S77" i="10"/>
  <c r="U77" i="10"/>
  <c r="Q77" i="10"/>
  <c r="T6" i="10"/>
  <c r="R6" i="10"/>
  <c r="Q59" i="10"/>
  <c r="E81" i="10"/>
  <c r="B11" i="5" s="1"/>
  <c r="L6" i="10"/>
  <c r="M6" i="10" s="1"/>
  <c r="H58" i="4"/>
  <c r="N58" i="4" s="1"/>
  <c r="E58" i="4"/>
  <c r="M20" i="4"/>
  <c r="I35" i="11" l="1"/>
  <c r="C26" i="5" s="1"/>
  <c r="I45" i="7"/>
  <c r="D19" i="5" s="1"/>
  <c r="H45" i="7"/>
  <c r="C19" i="5" s="1"/>
  <c r="H35" i="11"/>
  <c r="B26" i="5" s="1"/>
  <c r="L9" i="10"/>
  <c r="M9" i="10" s="1"/>
  <c r="L7" i="10"/>
  <c r="M7" i="10" s="1"/>
  <c r="L8" i="10" s="1"/>
  <c r="M8" i="10" s="1"/>
  <c r="L11" i="10" s="1"/>
  <c r="M11" i="10" s="1"/>
  <c r="L12" i="10" s="1"/>
  <c r="M12" i="10" s="1"/>
  <c r="L16" i="10" s="1"/>
  <c r="M16" i="10" s="1"/>
  <c r="AG12" i="7"/>
  <c r="AG8" i="7"/>
  <c r="AG7" i="7"/>
  <c r="AG9" i="7"/>
  <c r="AG10" i="7"/>
  <c r="AG11" i="7"/>
  <c r="AG6" i="7"/>
  <c r="AG13" i="7"/>
  <c r="AG14" i="7"/>
  <c r="X35" i="11"/>
  <c r="Y35" i="11"/>
  <c r="AD35" i="11"/>
  <c r="AC35" i="11"/>
  <c r="AB35" i="11"/>
  <c r="AA35" i="11"/>
  <c r="Z35" i="11"/>
  <c r="W35" i="11"/>
  <c r="I26" i="5"/>
  <c r="H26" i="5"/>
  <c r="F26" i="5"/>
  <c r="G26" i="5"/>
  <c r="E26" i="5"/>
  <c r="D26" i="5"/>
  <c r="X45" i="7"/>
  <c r="W45" i="7"/>
  <c r="AB45" i="7"/>
  <c r="AA45" i="7"/>
  <c r="Z45" i="7"/>
  <c r="Y45" i="7"/>
  <c r="V45" i="7"/>
  <c r="U45" i="7"/>
  <c r="I19" i="5"/>
  <c r="E19" i="5"/>
  <c r="H19" i="5"/>
  <c r="G19" i="5"/>
  <c r="F19" i="5"/>
  <c r="J25" i="5"/>
  <c r="O78" i="10"/>
  <c r="O81" i="10" s="1"/>
  <c r="P78" i="10"/>
  <c r="P81" i="10" s="1"/>
  <c r="Q78" i="10"/>
  <c r="Q81" i="10" s="1"/>
  <c r="T78" i="10"/>
  <c r="T81" i="10" s="1"/>
  <c r="S78" i="10"/>
  <c r="S81" i="10" s="1"/>
  <c r="R78" i="10"/>
  <c r="R81" i="10" s="1"/>
  <c r="U78" i="10"/>
  <c r="U81" i="10" s="1"/>
  <c r="J15" i="5"/>
  <c r="J11" i="5"/>
  <c r="J18" i="5"/>
  <c r="P35" i="7"/>
  <c r="AD35" i="7"/>
  <c r="R59" i="10"/>
  <c r="N78" i="10"/>
  <c r="N81" i="10" s="1"/>
  <c r="U6" i="10"/>
  <c r="T18" i="10"/>
  <c r="U18" i="10" s="1"/>
  <c r="T7" i="10" l="1"/>
  <c r="T8" i="10"/>
  <c r="G45" i="7"/>
  <c r="B19" i="5" s="1"/>
  <c r="T10" i="10"/>
  <c r="L10" i="10"/>
  <c r="M10" i="10" s="1"/>
  <c r="J26" i="5"/>
  <c r="D13" i="13" s="1"/>
  <c r="T9" i="10"/>
  <c r="U9" i="10" s="1"/>
  <c r="O82" i="10" s="1"/>
  <c r="M18" i="10"/>
  <c r="J19" i="5" l="1"/>
  <c r="D11" i="13" s="1"/>
  <c r="E82" i="10"/>
  <c r="B12" i="5" s="1"/>
  <c r="T11" i="10"/>
  <c r="L59" i="10"/>
  <c r="N82" i="10"/>
  <c r="T82" i="10"/>
  <c r="S82" i="10"/>
  <c r="R82" i="10"/>
  <c r="Q82" i="10"/>
  <c r="U82" i="10"/>
  <c r="P82" i="10"/>
  <c r="U59" i="10"/>
  <c r="T59" i="10"/>
  <c r="H82" i="10"/>
  <c r="E12" i="5" s="1"/>
  <c r="I82" i="10"/>
  <c r="F12" i="5" s="1"/>
  <c r="G82" i="10"/>
  <c r="D12" i="5" s="1"/>
  <c r="J82" i="10"/>
  <c r="G12" i="5" s="1"/>
  <c r="K82" i="10"/>
  <c r="H12" i="5" s="1"/>
  <c r="L82" i="10"/>
  <c r="I12" i="5" s="1"/>
  <c r="M59" i="10"/>
  <c r="F82" i="10"/>
  <c r="C12" i="5" s="1"/>
  <c r="B27" i="5" l="1"/>
  <c r="C27" i="5"/>
  <c r="J12" i="5"/>
  <c r="G27" i="5"/>
  <c r="H27" i="5"/>
  <c r="E27" i="5"/>
  <c r="D27" i="5"/>
  <c r="I27" i="5"/>
  <c r="F27" i="5"/>
  <c r="J27" i="5" l="1"/>
  <c r="D9" i="13"/>
  <c r="D14" i="13" s="1"/>
  <c r="J12" i="13" l="1"/>
  <c r="H12" i="13"/>
  <c r="F12" i="13"/>
  <c r="K12" i="13"/>
  <c r="L10" i="13"/>
  <c r="M10" i="13"/>
  <c r="H10" i="13"/>
  <c r="G10" i="13"/>
  <c r="K10" i="13"/>
  <c r="M12" i="13"/>
  <c r="I10" i="13"/>
  <c r="F10" i="13"/>
  <c r="G12" i="13"/>
  <c r="J10" i="13"/>
  <c r="I12" i="13"/>
  <c r="L12" i="13"/>
  <c r="L11" i="13"/>
  <c r="K13" i="13"/>
  <c r="F13" i="13"/>
  <c r="H13" i="13"/>
  <c r="I11" i="13"/>
  <c r="H11" i="13"/>
  <c r="K11" i="13"/>
  <c r="I13" i="13"/>
  <c r="J11" i="13"/>
  <c r="G11" i="13"/>
  <c r="L13" i="13"/>
  <c r="M13" i="13"/>
  <c r="J13" i="13"/>
  <c r="M11" i="13"/>
  <c r="G13" i="13"/>
  <c r="F11" i="13"/>
  <c r="M9" i="13"/>
  <c r="H9" i="13"/>
  <c r="K9" i="13"/>
  <c r="J9" i="13"/>
  <c r="F9" i="13"/>
  <c r="L9" i="13"/>
  <c r="G9" i="13"/>
  <c r="I9" i="13"/>
  <c r="K14" i="13" l="1"/>
  <c r="K17" i="13" s="1"/>
  <c r="I14" i="13"/>
  <c r="I17" i="13" s="1"/>
  <c r="J14" i="13"/>
  <c r="J17" i="13" s="1"/>
  <c r="N11" i="13"/>
  <c r="M14" i="13"/>
  <c r="M17" i="13" s="1"/>
  <c r="G14" i="13"/>
  <c r="G17" i="13" s="1"/>
  <c r="N13" i="13"/>
  <c r="N9" i="13"/>
  <c r="L14" i="13"/>
  <c r="L17" i="13" s="1"/>
  <c r="H14" i="13"/>
  <c r="H17" i="13" s="1"/>
  <c r="F14" i="13"/>
  <c r="F17" i="13" s="1"/>
  <c r="N14" i="13" l="1"/>
  <c r="N17" i="13"/>
</calcChain>
</file>

<file path=xl/sharedStrings.xml><?xml version="1.0" encoding="utf-8"?>
<sst xmlns="http://schemas.openxmlformats.org/spreadsheetml/2006/main" count="601" uniqueCount="267">
  <si>
    <t xml:space="preserve">AAP : </t>
  </si>
  <si>
    <t>Date de dépôt du dossier :</t>
  </si>
  <si>
    <t>Demandeur :</t>
  </si>
  <si>
    <t>SIRET :</t>
  </si>
  <si>
    <t>Adresse</t>
  </si>
  <si>
    <t>Code Postal + Commune</t>
  </si>
  <si>
    <t>Intitulé du projet :</t>
  </si>
  <si>
    <t>Date instruction :</t>
  </si>
  <si>
    <t>Instructeur :</t>
  </si>
  <si>
    <t>MAEC Occitanie - Programmation 2023-2027</t>
  </si>
  <si>
    <t>Commentaires</t>
  </si>
  <si>
    <t xml:space="preserve">Demande de subvention complète </t>
  </si>
  <si>
    <t xml:space="preserve">Si incomplète, pièces complémentaires demandées le : </t>
  </si>
  <si>
    <t xml:space="preserve">Date de l'accusé réception de dossier complet : </t>
  </si>
  <si>
    <t>Pièces justificatives de la demande d'aide</t>
  </si>
  <si>
    <t>Pièces</t>
  </si>
  <si>
    <t>Direction régionale de l’alimentation,</t>
  </si>
  <si>
    <t>de l’agriculture et de la forêt d’Occitanie</t>
  </si>
  <si>
    <t>Délibération de l’organe compétent approuvant le projet, le plan de financement et autorisant le responsable légal à solliciter l’aide.</t>
  </si>
  <si>
    <t>Le cas échéant, en cas de signature de la demande par une personne autre que le représentant légal de la structure : justificatif attestant de la qualité du signataire à déposer la demande.</t>
  </si>
  <si>
    <t>Relevé d’identité bancaire.</t>
  </si>
  <si>
    <t>K-bis pour les formes sociétaires</t>
  </si>
  <si>
    <t>Statuts approuvés ou déposés de la structure associative et liste des membres composant le conseil d’administration + récépissé de déclaration en préfecture ou publication au journal Officiel (JO) ou N° RNA.</t>
  </si>
  <si>
    <t>Bilan et compte de résultats du dernier exercice clos (liasse fiscale si disponible)</t>
  </si>
  <si>
    <t>Attestation de non-soumission (soumission partielle) à la TVA lorsque la demande est effectuée pour tout ou partie en TTC.</t>
  </si>
  <si>
    <t>Le cas échéant autres pièces complémentaires demandées par la DRAAF</t>
  </si>
  <si>
    <r>
      <rPr>
        <u/>
        <sz val="10"/>
        <color theme="8" tint="-0.249977111117893"/>
        <rFont val="Calibri"/>
        <family val="2"/>
        <scheme val="minor"/>
      </rPr>
      <t>Dans le cas d’un projet partenarial avec chef de file</t>
    </r>
    <r>
      <rPr>
        <sz val="10"/>
        <color theme="8" tint="-0.249977111117893"/>
        <rFont val="Calibri"/>
        <family val="2"/>
        <scheme val="minor"/>
      </rPr>
      <t> :
- Convention de partenariat (possibilité de la transmettre après le dépôt de la demande d’aide et au plus tard avant l’établissement de la décision juridique)
- Présentation de la ou des structures partenaire(s)</t>
    </r>
  </si>
  <si>
    <r>
      <rPr>
        <u/>
        <sz val="10"/>
        <color theme="8" tint="-0.249977111117893"/>
        <rFont val="Calibri"/>
        <family val="2"/>
        <scheme val="minor"/>
      </rPr>
      <t>Pièces justificatives des dépenses prévisionnelles, notamment</t>
    </r>
    <r>
      <rPr>
        <sz val="10"/>
        <color theme="8" tint="-0.249977111117893"/>
        <rFont val="Calibri"/>
        <family val="2"/>
        <scheme val="minor"/>
      </rPr>
      <t xml:space="preserve"> :
- Pour chaque intervenant, une attestation de coût journalier établie par la personne en charge de la comptabilité de la structure d’appartenance (agent comptable, trésorier…)
- Les prestations doivent faire l’objet d’un devis (pour les dépenses de plus de 500€) et doivent, le cas échéant, respecter les règles de la commande publique.</t>
    </r>
  </si>
  <si>
    <t>Formulaire de demande d’aide accompagné de l’ensemble des annexes requises</t>
  </si>
  <si>
    <t>Conformité des pièces justificatives</t>
  </si>
  <si>
    <t>Eligibilité du demandeur</t>
  </si>
  <si>
    <t>Eligibilité de la demande</t>
  </si>
  <si>
    <r>
      <t xml:space="preserve">Pièce jointe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</si>
  <si>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Conformité
</t>
    </r>
    <r>
      <rPr>
        <i/>
        <sz val="10"/>
        <color theme="8" tint="-0.249977111117893"/>
        <rFont val="Calibri"/>
        <family val="2"/>
        <scheme val="minor"/>
      </rPr>
      <t>(Oui/Non)</t>
    </r>
  </si>
  <si>
    <t>Contrôles croisés</t>
  </si>
  <si>
    <t>Si dossier non éligible, date d'envoi du courrier de rejet motivé</t>
  </si>
  <si>
    <t>Commentaire</t>
  </si>
  <si>
    <t>Le demandeur est éligible (structure)</t>
  </si>
  <si>
    <t>Le demandeur possède les compétences techniques sur le sujet</t>
  </si>
  <si>
    <t>Localisation du projet</t>
  </si>
  <si>
    <t>Absence de double financement public</t>
  </si>
  <si>
    <t>Points de contrôle</t>
  </si>
  <si>
    <t>Le demandeur et la demande remplissent les conditions d'éligibilité</t>
  </si>
  <si>
    <t>Postes de dépenses</t>
  </si>
  <si>
    <t>Montants présentés</t>
  </si>
  <si>
    <t>Montants instruits (retenus)</t>
  </si>
  <si>
    <t>Coût salarial journalier (€)</t>
  </si>
  <si>
    <t>Nombre de jours consacrés à l'action</t>
  </si>
  <si>
    <t>Montant présenté (€)</t>
  </si>
  <si>
    <t>Montant éligible retenu (€)</t>
  </si>
  <si>
    <t xml:space="preserve">Instruction des dépenses - Volet 1 - ELABORATION DU PAEC </t>
  </si>
  <si>
    <t>…</t>
  </si>
  <si>
    <t xml:space="preserve">1 - DÉPENSES DE PERSONNEL ET COÛTS INDIRECTS FORFAITAIRES </t>
  </si>
  <si>
    <t>2. FRAIS DE DÉPLACEMENT, DE RESTAURATION ET D’HÉBERGEMENT :</t>
  </si>
  <si>
    <t>Description de l’intervention</t>
  </si>
  <si>
    <r>
      <t>Structure</t>
    </r>
    <r>
      <rPr>
        <sz val="10"/>
        <color theme="8" tint="-0.249977111117893"/>
        <rFont val="Calibri"/>
        <family val="2"/>
        <scheme val="minor"/>
      </rPr>
      <t xml:space="preserve"> (demandeur, partenaire)</t>
    </r>
  </si>
  <si>
    <t>Prénom – Nom de l’intervenant</t>
  </si>
  <si>
    <t>-</t>
  </si>
  <si>
    <t>Sous-total dépenses de personnel</t>
  </si>
  <si>
    <t>Sous-total coûts indirects</t>
  </si>
  <si>
    <t>Prise en compte forfaitaire des coûts indirects :</t>
  </si>
  <si>
    <t>Nombre de jours de déplacement</t>
  </si>
  <si>
    <t>Total 2</t>
  </si>
  <si>
    <t>Total 1</t>
  </si>
  <si>
    <t>Total 3</t>
  </si>
  <si>
    <t>Autres frais</t>
  </si>
  <si>
    <t>Frais de déplacement de restauration et d'hébergement</t>
  </si>
  <si>
    <t>Coûts indirects</t>
  </si>
  <si>
    <t>Frais de personnel</t>
  </si>
  <si>
    <t>Total général</t>
  </si>
  <si>
    <t>Libellé de la dépense</t>
  </si>
  <si>
    <t>Total volet 1</t>
  </si>
  <si>
    <t>Total volet 1 plafonné le cas échéant</t>
  </si>
  <si>
    <t>Total volet 2</t>
  </si>
  <si>
    <t>Total volet 3</t>
  </si>
  <si>
    <t>Service instructeur</t>
  </si>
  <si>
    <t>Calcul de l'aide</t>
  </si>
  <si>
    <t>Montant total présenté</t>
  </si>
  <si>
    <t>Volet 1 - Elaboration du PAEC</t>
  </si>
  <si>
    <t xml:space="preserve">Postes de dépenses </t>
  </si>
  <si>
    <t>Volet 3 - Diagnostics</t>
  </si>
  <si>
    <t>Synthèse des dépenses prévisionnelles</t>
  </si>
  <si>
    <t>Catégorie</t>
  </si>
  <si>
    <t>Ref_categories_personnel</t>
  </si>
  <si>
    <t>Ref_categories_diag</t>
  </si>
  <si>
    <t>Plafond applicable</t>
  </si>
  <si>
    <t>Dépenses présentées</t>
  </si>
  <si>
    <t>Dépenses éligibles retenues</t>
  </si>
  <si>
    <t>Coût salarial journalier présenté (€)</t>
  </si>
  <si>
    <t>Coût salarial journalier éligible retenu (€)</t>
  </si>
  <si>
    <t>Diagnostic simple</t>
  </si>
  <si>
    <t xml:space="preserve"> </t>
  </si>
  <si>
    <t>Id action</t>
  </si>
  <si>
    <t>Technicien</t>
  </si>
  <si>
    <t>Administratif</t>
  </si>
  <si>
    <t>Réunion collective (O/N)</t>
  </si>
  <si>
    <t>Montant éligible (€)</t>
  </si>
  <si>
    <t>N°</t>
  </si>
  <si>
    <t>Plafond</t>
  </si>
  <si>
    <t>E.1</t>
  </si>
  <si>
    <t>Sous-total volet 3</t>
  </si>
  <si>
    <t>Autres frais (DIAGNOSTICS REALISES EN SOUS-TRAITANCE)</t>
  </si>
  <si>
    <t>Plafond applicable (si réunion coll.)</t>
  </si>
  <si>
    <r>
      <t>Structure qui supporte la dépense</t>
    </r>
    <r>
      <rPr>
        <sz val="10"/>
        <color theme="8" tint="-0.249977111117893"/>
        <rFont val="Calibri"/>
        <family val="2"/>
        <scheme val="minor"/>
      </rPr>
      <t xml:space="preserve"> (demandeur, partenaire)</t>
    </r>
  </si>
  <si>
    <t>Instruction des dépenses - Coûts/J des intervenants et taux d'aide applicables</t>
  </si>
  <si>
    <t>TOTAL</t>
  </si>
  <si>
    <t>Répartition des montants éligibles retenues par structure</t>
  </si>
  <si>
    <t>Structure</t>
  </si>
  <si>
    <t xml:space="preserve">3. AUTRES FRAIS (prestation, location de salle et de matériel…) </t>
  </si>
  <si>
    <t>Liste intervenants structures 1</t>
  </si>
  <si>
    <t xml:space="preserve">1 - REALISATION DES DIAGNOSTICS </t>
  </si>
  <si>
    <t>Multi-enjeux</t>
  </si>
  <si>
    <t>Enjeu PNA, DFCI ou Pasto collectif</t>
  </si>
  <si>
    <t>Prestataire / Fournisseur</t>
  </si>
  <si>
    <t>DRAAF/SRAA</t>
  </si>
  <si>
    <t>Liste intervenants structures 2</t>
  </si>
  <si>
    <t>Liste intervenants structures 3</t>
  </si>
  <si>
    <t>Liste intervenants structures 4</t>
  </si>
  <si>
    <t>Liste intervenants structures 5</t>
  </si>
  <si>
    <t>Liste intervenants structures 6</t>
  </si>
  <si>
    <t>Liste intervenants structures 7</t>
  </si>
  <si>
    <t>Demande de prise en charge forfaitaire des frais de stucture (Oui/non)</t>
  </si>
  <si>
    <t>Ingénieur ou fonction de direction</t>
  </si>
  <si>
    <t>Concertation et gouvernance</t>
  </si>
  <si>
    <t>Diagnostic agroenvironnemental du territoire (comprenant, le cas échéant, le bilan des actions précédentes)</t>
  </si>
  <si>
    <t>Rédaction du PAEC</t>
  </si>
  <si>
    <t xml:space="preserve">Cartographie du périmètre des territoires </t>
  </si>
  <si>
    <t>Réunion individuelle avec agriculteur</t>
  </si>
  <si>
    <t>Communication auprès des agriculteurs (presse, internet…)</t>
  </si>
  <si>
    <t>Réunion du comité de pilotage du PAEC</t>
  </si>
  <si>
    <t>Rédaction des notices de territoire et de mesures</t>
  </si>
  <si>
    <t>Ref_actions_elaboration</t>
  </si>
  <si>
    <t>Ref_actions_diag</t>
  </si>
  <si>
    <t>Ref_actions_animation</t>
  </si>
  <si>
    <t>Libellé de l’action</t>
  </si>
  <si>
    <t>Diagnostics d'exploitation 2023 (jusqu'au 15/09/2023)</t>
  </si>
  <si>
    <t>Diagnostics d'exploitation 2024 (jusqu'au 15/09/2024)</t>
  </si>
  <si>
    <t>Diagnostics d'exploitation 2024 (jusqu'au 15/09/2025)</t>
  </si>
  <si>
    <t>Réunion collective des agriculteurs N°1</t>
  </si>
  <si>
    <t>Réunion collective des agriculteurs N°2</t>
  </si>
  <si>
    <t>Réunion collective des agriculteurs N°3</t>
  </si>
  <si>
    <t>Réunion collective des agriculteurs N°4</t>
  </si>
  <si>
    <t>Réunion collective des agriculteurs N°5</t>
  </si>
  <si>
    <t>Frais de structures présentés</t>
  </si>
  <si>
    <t>Frais de personnel présentés (€)</t>
  </si>
  <si>
    <t>Opérateur</t>
  </si>
  <si>
    <t>Taux d'aide
demandé</t>
  </si>
  <si>
    <t>Frais de personnel retenus (€)</t>
  </si>
  <si>
    <t>Frais de structures retenus</t>
  </si>
  <si>
    <t xml:space="preserve">2. AUTRES FRAIS (prestation, location de salle et de matériel…) </t>
  </si>
  <si>
    <t>Dont Nbre de jours en déplacement</t>
  </si>
  <si>
    <t>Nbre de jours consacrés à l'action</t>
  </si>
  <si>
    <t>Frais de déplacement présentés</t>
  </si>
  <si>
    <t>Sous-total</t>
  </si>
  <si>
    <t>Frais de déplacement retenus</t>
  </si>
  <si>
    <r>
      <t>Structure qui supporte la dépense</t>
    </r>
    <r>
      <rPr>
        <sz val="10"/>
        <color theme="8" tint="-0.249977111117893"/>
        <rFont val="Calibri"/>
        <family val="2"/>
        <scheme val="minor"/>
      </rPr>
      <t xml:space="preserve"> (opérateur)</t>
    </r>
  </si>
  <si>
    <t>N° Devis</t>
  </si>
  <si>
    <t>Coût salarial journalier plafonné(€)</t>
  </si>
  <si>
    <t>1 - DÉPENSES DE PERSONNEL / COÛTS INDIRECTS FORFAITAIRES / FRAIS DE DEPLACEMENT FORFAITAIRES</t>
  </si>
  <si>
    <t>Total volet 2 (plafonné le cas échéant)</t>
  </si>
  <si>
    <t>Nom de la structure</t>
  </si>
  <si>
    <t>Statut (Opérateur, Partenaire, Prestataire ou Fournisseur)</t>
  </si>
  <si>
    <t>Prestataire ou fournisseur</t>
  </si>
  <si>
    <t>RefStructures</t>
  </si>
  <si>
    <t>RefPresta</t>
  </si>
  <si>
    <t>Presta</t>
  </si>
  <si>
    <t>Répartition des montants retenus par structure</t>
  </si>
  <si>
    <t>Montants présentés par structure</t>
  </si>
  <si>
    <t>Intervenant</t>
  </si>
  <si>
    <t>Nbre de jours</t>
  </si>
  <si>
    <t>Dont nbre de jours en déplacement</t>
  </si>
  <si>
    <t>Nb total de diag prévus pour la campagne 2024</t>
  </si>
  <si>
    <t>Structure intervenant</t>
  </si>
  <si>
    <t>Montant total présenté après plafonnement</t>
  </si>
  <si>
    <r>
      <rPr>
        <b/>
        <u/>
        <sz val="10"/>
        <color theme="8" tint="-0.249977111117893"/>
        <rFont val="Calibri"/>
        <family val="2"/>
        <scheme val="minor"/>
      </rPr>
      <t>Diagnostics plafonnés à 800€ :</t>
    </r>
    <r>
      <rPr>
        <sz val="10"/>
        <color theme="8" tint="-0.249977111117893"/>
        <rFont val="Calibri"/>
        <family val="2"/>
        <scheme val="minor"/>
      </rPr>
      <t xml:space="preserve">
Diagnostic mono-enjeux PNA/PRA, DFCI ou pastoralisme collectif
ou 
Diagnostic avec multi-enjeux MASA (enjeux Biodiversité hors Natura 2000, enjeux Pastoralisme ou enjeux Filières)
ou 
Diagnostic avec multi-enjeux combinant l’enjeu Natura 2000 + enjeux Pastoralisme ou Filière, avec part des surfaces engagées en Natura 2000 inférieure à à 40% de totalité des surfaces engagées.</t>
    </r>
  </si>
  <si>
    <r>
      <rPr>
        <b/>
        <u/>
        <sz val="10"/>
        <color theme="8" tint="-0.249977111117893"/>
        <rFont val="Calibri"/>
        <family val="2"/>
        <scheme val="minor"/>
      </rPr>
      <t>Diagnostics plafonnés à 1000€ :</t>
    </r>
    <r>
      <rPr>
        <sz val="10"/>
        <color theme="8" tint="-0.249977111117893"/>
        <rFont val="Calibri"/>
        <family val="2"/>
        <scheme val="minor"/>
      </rPr>
      <t xml:space="preserve">
Diagnostic associé à un plan de gestion</t>
    </r>
  </si>
  <si>
    <t>Liste des structures intervenant pour l'animation du PAEC</t>
  </si>
  <si>
    <t>Liste des intervenants (pour l'opérateur et les partenaires uniquement)</t>
  </si>
  <si>
    <t>Total volet 3 (plafonné le cas échéant)</t>
  </si>
  <si>
    <r>
      <rPr>
        <b/>
        <u/>
        <sz val="10"/>
        <color theme="8" tint="-0.249977111117893"/>
        <rFont val="Calibri"/>
        <family val="2"/>
        <scheme val="minor"/>
      </rPr>
      <t xml:space="preserve">Diagnostics plafonnés à 500€ :
</t>
    </r>
    <r>
      <rPr>
        <sz val="10"/>
        <color theme="8" tint="-0.249977111117893"/>
        <rFont val="Calibri"/>
        <family val="2"/>
        <scheme val="minor"/>
      </rPr>
      <t>Diagnostic mono-enjeu Pastoralisme individuel
ou
enjeux Filières (Grandes cultures, polyculture-élevage, riz)</t>
    </r>
  </si>
  <si>
    <t>Montants retenus par structure</t>
  </si>
  <si>
    <t>Nbre de jours retenus</t>
  </si>
  <si>
    <t>Montants éligible retenu</t>
  </si>
  <si>
    <t>Montant total retenu après plafonnement</t>
  </si>
  <si>
    <t>Modalité de réalisation</t>
  </si>
  <si>
    <t>Instruction des dépenses - Volet 4 - Formations</t>
  </si>
  <si>
    <t xml:space="preserve">1 - REALISATION DES FORMATIONS </t>
  </si>
  <si>
    <t>Réalisation par un prestataire :</t>
  </si>
  <si>
    <t>Action</t>
  </si>
  <si>
    <t>Formations finançables par VIVEA</t>
  </si>
  <si>
    <t>Volet 4 - Formations</t>
  </si>
  <si>
    <t>TOTAL 2023</t>
  </si>
  <si>
    <t>Volet 2 - Animation</t>
  </si>
  <si>
    <t>Total volet 4</t>
  </si>
  <si>
    <t>Total volet 4 plafonné le cas échéant</t>
  </si>
  <si>
    <t>Total volet 3 plafonné le cas échéant</t>
  </si>
  <si>
    <t>Total volet 2 plafonné le cas échéant</t>
  </si>
  <si>
    <t>Taux d'aide</t>
  </si>
  <si>
    <t>Montants des dépenses réalisées en 2023</t>
  </si>
  <si>
    <t>Réalisation campagne 2023</t>
  </si>
  <si>
    <t>Campagne</t>
  </si>
  <si>
    <t>Nb total de diag prévus pour la campagne 2025</t>
  </si>
  <si>
    <t>Nb total de diag retenu pour 2024</t>
  </si>
  <si>
    <t>Nb total de diag retenu pour 2025</t>
  </si>
  <si>
    <t>Nb de bénéficiaires à former - campagne d'engagement 2023</t>
  </si>
  <si>
    <t>Nb de bénéficiaires à former - campagne d'engagement 2024</t>
  </si>
  <si>
    <t>Nb de bénéficiaires à former - campagne d'engagement 2025</t>
  </si>
  <si>
    <t>Selon nombre de bénéficiaires à former</t>
  </si>
  <si>
    <t>Montants présentés 2024-2025+T:AB</t>
  </si>
  <si>
    <t>Montants présentés 2023-2024-2025</t>
  </si>
  <si>
    <t>Synthèse des montants présentés</t>
  </si>
  <si>
    <t>Report sur 2024-2025</t>
  </si>
  <si>
    <t>Montant de la subvention</t>
  </si>
  <si>
    <t>Bilans et suivi</t>
  </si>
  <si>
    <t>Première demande d'aide</t>
  </si>
  <si>
    <t>Demande d'avenant</t>
  </si>
  <si>
    <t>Objet de la demande :</t>
  </si>
  <si>
    <t>si demande d'avenant N° DJ 2023</t>
  </si>
  <si>
    <r>
      <t xml:space="preserve">Préparation et suivi des formations
</t>
    </r>
    <r>
      <rPr>
        <i/>
        <sz val="10"/>
        <color theme="8" tint="-0.249977111117893"/>
        <rFont val="Calibri"/>
        <family val="2"/>
        <scheme val="minor"/>
      </rPr>
      <t>(plafonnement à 3 jours maximum si le nombre total de bénéficiaires à former pour le PAEC est inférieur ou égal à 15
ou
plafonnement à 5 jours maximum si le nombre total de bénéficiaires à former est supérieur à 15</t>
    </r>
  </si>
  <si>
    <t>des PAEC 2023-2025</t>
  </si>
  <si>
    <t>Actions d'animation relatives à l'animation</t>
  </si>
  <si>
    <r>
      <t xml:space="preserve">Pièce jointe à la présente demande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</si>
  <si>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Pièce déjà fournie dans le dossier d'aide à l'animation déposé en 2022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</si>
  <si>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Pièce déjà fournie dans un autre dossier d'aide à l'animation déposé en 2023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</si>
  <si>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t>Lettre de demande de subvention signée</t>
  </si>
  <si>
    <t>Attestation de non-assujetissement à la TVA, le cas échéant</t>
  </si>
  <si>
    <t>Les organismes publics doivent également joindre</t>
  </si>
  <si>
    <t>Délibération autorisant l’exécutif à solliciter un financement</t>
  </si>
  <si>
    <t>A joindre uniquement en cas de changement</t>
  </si>
  <si>
    <t>Relevé d'identité bancaire (ou copie lisible)</t>
  </si>
  <si>
    <t>Liste des insertions au Journal Officiel (ou récépissé de la préfecture)</t>
  </si>
  <si>
    <t xml:space="preserve">Copie des statuts en vigueur datés et signés </t>
  </si>
  <si>
    <t>CNI (recto/verso) du/de la Président/te</t>
  </si>
  <si>
    <t>Bilan et compte de résultat du dernier exercice clôturé (N-1, N-2 le cas échéant ; certifiés conformes par le président, le trésorier et le cas échéant le commissaire aux comptes)</t>
  </si>
  <si>
    <t>Rapport d’activité du dernier exercice clôturé (N-1, N-2 le cas échéant)</t>
  </si>
  <si>
    <t>Liste des membres du conseil d’administration et du bureau en vigueur</t>
  </si>
  <si>
    <r>
      <rPr>
        <u/>
        <sz val="10"/>
        <color theme="8" tint="-0.249977111117893"/>
        <rFont val="Calibri"/>
        <family val="2"/>
        <scheme val="minor"/>
      </rPr>
      <t>Dans le cas d’un projet partenarial avec chef de file</t>
    </r>
    <r>
      <rPr>
        <sz val="10"/>
        <color theme="8" tint="-0.249977111117893"/>
        <rFont val="Calibri"/>
        <family val="2"/>
        <scheme val="minor"/>
      </rPr>
      <t> :
- Convention de partenariat (ou projet)
- Présentation de la ou des structures partenaire(s)</t>
    </r>
  </si>
  <si>
    <t>Certifié exact et sincère, le (date) :</t>
  </si>
  <si>
    <t>Signature agent comptable ou comptable</t>
  </si>
  <si>
    <t>Nom, prénom du représentant de la structure :</t>
  </si>
  <si>
    <t>Qualité :</t>
  </si>
  <si>
    <t>Cachet et signature :</t>
  </si>
  <si>
    <t>…………………………………………………………………………………………………………………………..</t>
  </si>
  <si>
    <t xml:space="preserve">Dépenses présentées - Volet 2 - ANIMATION DU PAEC </t>
  </si>
  <si>
    <t>Dépenses présentées - Volet 3 - REALISATION DES DIAGNOSTICS D’EXPLOITATION ET PLANS DE GESTION</t>
  </si>
  <si>
    <t>Nb de bénéficiaires à former - camp. d'engagement 2023</t>
  </si>
  <si>
    <t>Nb de bénéficiaires à former - camp. d'engagement 2024</t>
  </si>
  <si>
    <t>Nb de bénéficiaires à former - camp. d'engagement 2025</t>
  </si>
  <si>
    <t>Réalisation par un prestataire</t>
  </si>
  <si>
    <t>Devis pour toute dépense donnant lieu à facture supérieure à 1000€</t>
  </si>
  <si>
    <t>Le présent formulaire au format excel</t>
  </si>
  <si>
    <t>Le présent formulaire au format pdf signé</t>
  </si>
  <si>
    <r>
      <t xml:space="preserve">Formations non finançables par VIVEA
</t>
    </r>
    <r>
      <rPr>
        <i/>
        <sz val="10"/>
        <color theme="8" tint="-0.249977111117893"/>
        <rFont val="Calibri"/>
        <family val="2"/>
        <scheme val="minor"/>
      </rPr>
      <t>(plafonnement à 80€/bénéficiaire formé)</t>
    </r>
  </si>
  <si>
    <r>
      <rPr>
        <b/>
        <u/>
        <sz val="10"/>
        <color theme="8" tint="-0.249977111117893"/>
        <rFont val="Calibri"/>
        <family val="2"/>
        <scheme val="minor"/>
      </rPr>
      <t xml:space="preserve">Pour rappel </t>
    </r>
    <r>
      <rPr>
        <b/>
        <sz val="10"/>
        <color theme="8" tint="-0.249977111117893"/>
        <rFont val="Calibri"/>
        <family val="2"/>
        <scheme val="minor"/>
      </rPr>
      <t>:</t>
    </r>
    <r>
      <rPr>
        <sz val="10"/>
        <color theme="8" tint="-0.249977111117893"/>
        <rFont val="Calibri"/>
        <family val="2"/>
        <scheme val="minor"/>
      </rPr>
      <t xml:space="preserve"> la répartition par volet et par structure est prévisionnelle. Des  transferts seront possibles :</t>
    </r>
  </si>
  <si>
    <t>- entre structure au sein du même volet</t>
  </si>
  <si>
    <t>- entre volets, uniquement entre les actions du volet 1 (élaboration) vers le volet 2 (animation) et 3 (diagnostics) ou du volet 2 vers le volet 3 (le volet 3 n’est pas fongible).</t>
  </si>
  <si>
    <t>Commentaires instructeur :</t>
  </si>
  <si>
    <t>Version 20230717</t>
  </si>
  <si>
    <t>Actions de préparation réalisées par l'opérateur et/ou ses partenaires</t>
  </si>
  <si>
    <t>Réalisation par l'opérateur et/ou ses partenaires</t>
  </si>
  <si>
    <t>Commentaires instructeur</t>
  </si>
  <si>
    <t>Réalisation par l'opérateur et/ou ses partenaires :</t>
  </si>
  <si>
    <t>Total volet 4 (plafonné le cas échéant)</t>
  </si>
  <si>
    <t>Financement par le report</t>
  </si>
  <si>
    <t>Montant des dépenses brutes présentées pour 2024-2025</t>
  </si>
  <si>
    <t>Montants nets présentés de la présente demande d'aide ou de la demande d'avenant</t>
  </si>
  <si>
    <t>Montants sous-réalisés reportés sur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</si>
</sst>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"/>
    <numFmt numFmtId="165" formatCode="#,##0.00\ [$€]"/>
    <numFmt numFmtId="166" formatCode="#,##0.00&quot; €&quot;;&quot;-&quot;#,##0.00&quot; €&quot;;#,##0.00&quot; €&quot;"/>
    <numFmt numFmtId="167" formatCode="dd/mm/yy;@"/>
    <numFmt numFmtId="168" formatCode="#,##0.0"/>
    <numFmt numFmtId="169" formatCode="#,##0.0_ ;\-#,##0.0\ "/>
    <numFmt numFmtId="170" formatCode="0.0"/>
  </numFmts>
  <fonts count="4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8" tint="-0.249977111117893"/>
      <name val="Calibri"/>
      <family val="2"/>
    </font>
    <font>
      <b/>
      <sz val="16"/>
      <color theme="8" tint="-0.249977111117893"/>
      <name val="Calibri"/>
      <family val="2"/>
    </font>
    <font>
      <b/>
      <sz val="16"/>
      <name val="Calibri"/>
      <family val="2"/>
    </font>
    <font>
      <sz val="10"/>
      <color indexed="21"/>
      <name val="Calibri"/>
      <family val="2"/>
    </font>
    <font>
      <b/>
      <sz val="10"/>
      <color theme="8" tint="-0.249977111117893"/>
      <name val="Calibri"/>
      <family val="2"/>
    </font>
    <font>
      <b/>
      <sz val="10"/>
      <color indexed="21"/>
      <name val="Calibri"/>
      <family val="2"/>
    </font>
    <font>
      <sz val="11"/>
      <color theme="8" tint="-0.249977111117893"/>
      <name val="Calibri"/>
      <family val="2"/>
      <scheme val="minor"/>
    </font>
    <font>
      <b/>
      <u/>
      <sz val="10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b/>
      <sz val="22"/>
      <color rgb="FF00B050"/>
      <name val="Calibri"/>
      <family val="2"/>
    </font>
    <font>
      <b/>
      <sz val="10"/>
      <color theme="8" tint="-0.249977111117893"/>
      <name val="Calibri"/>
      <family val="2"/>
      <scheme val="minor"/>
    </font>
    <font>
      <b/>
      <sz val="14"/>
      <color rgb="FF000000"/>
      <name val="Marianne"/>
      <family val="3"/>
    </font>
    <font>
      <b/>
      <sz val="12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u/>
      <sz val="10"/>
      <color theme="8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b/>
      <i/>
      <sz val="10"/>
      <color indexed="62"/>
      <name val="Calibri"/>
      <family val="2"/>
      <scheme val="minor"/>
    </font>
    <font>
      <b/>
      <sz val="10"/>
      <color rgb="FF305496"/>
      <name val="Calibri"/>
      <family val="2"/>
      <scheme val="minor"/>
    </font>
    <font>
      <sz val="10"/>
      <color rgb="FF305496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5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8" tint="-0.249977111117893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theme="8" tint="-0.249977111117893"/>
      <name val="Calibri"/>
      <family val="2"/>
    </font>
    <font>
      <b/>
      <sz val="11"/>
      <color theme="0"/>
      <name val="Calibri"/>
      <family val="2"/>
      <scheme val="minor"/>
    </font>
    <font>
      <b/>
      <u/>
      <sz val="10"/>
      <color indexed="21"/>
      <name val="Calibri"/>
      <family val="2"/>
    </font>
    <font>
      <b/>
      <sz val="9"/>
      <color theme="8" tint="-0.249977111117893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4" tint="0.79998168889431442"/>
        <bgColor indexed="41"/>
      </patternFill>
    </fill>
    <fill>
      <patternFill patternType="solid">
        <fgColor indexed="65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8" tint="-0.249977111117893"/>
        <bgColor indexed="18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E699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indexed="43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fgColor theme="8" tint="0.39994506668294322"/>
        <bgColor theme="4" tint="0.79998168889431442"/>
      </patternFill>
    </fill>
    <fill>
      <patternFill patternType="lightUp">
        <fgColor theme="8" tint="0.39994506668294322"/>
        <bgColor theme="7" tint="0.79998168889431442"/>
      </patternFill>
    </fill>
    <fill>
      <patternFill patternType="lightUp">
        <fgColor theme="8" tint="0.39994506668294322"/>
        <bgColor theme="0"/>
      </patternFill>
    </fill>
    <fill>
      <patternFill patternType="solid">
        <fgColor theme="5" tint="0.79998168889431442"/>
        <bgColor rgb="FFD9E1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lightUp">
        <fgColor theme="8" tint="0.39994506668294322"/>
        <bgColor theme="0" tint="-4.9989318521683403E-2"/>
      </patternFill>
    </fill>
    <fill>
      <patternFill patternType="solid">
        <fgColor rgb="FFCFAFE7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79998168889431442"/>
        <bgColor theme="0" tint="-4.9989318521683403E-2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31"/>
      </patternFill>
    </fill>
    <fill>
      <patternFill patternType="solid">
        <fgColor rgb="FFCFAFE7"/>
        <bgColor indexed="43"/>
      </patternFill>
    </fill>
    <fill>
      <patternFill patternType="solid">
        <fgColor rgb="FFCFAFE7"/>
        <bgColor theme="0" tint="-4.9989318521683403E-2"/>
      </patternFill>
    </fill>
    <fill>
      <patternFill patternType="lightUp">
        <fgColor theme="4" tint="0.39994506668294322"/>
        <bgColor theme="0"/>
      </patternFill>
    </fill>
    <fill>
      <patternFill patternType="lightUp">
        <fgColor theme="4" tint="0.39994506668294322"/>
        <bgColor theme="7" tint="0.79995117038483843"/>
      </patternFill>
    </fill>
    <fill>
      <patternFill patternType="lightUp">
        <fgColor theme="8" tint="0.79998168889431442"/>
        <bgColor theme="0"/>
      </patternFill>
    </fill>
    <fill>
      <patternFill patternType="lightUp">
        <fgColor rgb="FFD9E1F2"/>
        <bgColor theme="0"/>
      </patternFill>
    </fill>
  </fills>
  <borders count="17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medium">
        <color theme="8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theme="8" tint="-0.24994659260841701"/>
      </top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 style="medium">
        <color theme="8" tint="-0.24994659260841701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thin">
        <color indexed="9"/>
      </top>
      <bottom style="medium">
        <color theme="8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8" tint="-0.24994659260841701"/>
      </bottom>
      <diagonal/>
    </border>
    <border>
      <left style="thin">
        <color indexed="9"/>
      </left>
      <right style="medium">
        <color theme="8" tint="-0.24994659260841701"/>
      </right>
      <top style="thin">
        <color indexed="9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theme="8" tint="-0.24994659260841701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499984740745262"/>
      </left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hair">
        <color theme="8" tint="-0.24994659260841701"/>
      </bottom>
      <diagonal/>
    </border>
    <border>
      <left/>
      <right style="hair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499984740745262"/>
      </left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/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/>
      <bottom style="thin">
        <color indexed="9"/>
      </bottom>
      <diagonal/>
    </border>
    <border>
      <left/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hair">
        <color theme="8" tint="-0.24994659260841701"/>
      </top>
      <bottom/>
      <diagonal/>
    </border>
    <border>
      <left/>
      <right style="thin">
        <color theme="8" tint="-0.24994659260841701"/>
      </right>
      <top style="hair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/>
      <bottom/>
      <diagonal/>
    </border>
    <border>
      <left style="hair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/>
      <top style="thin">
        <color theme="8" tint="-0.24994659260841701"/>
      </top>
      <bottom/>
      <diagonal/>
    </border>
    <border>
      <left/>
      <right style="medium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/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837">
    <xf numFmtId="0" fontId="0" fillId="0" borderId="0" xfId="0"/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6" fillId="2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9" fillId="4" borderId="30" xfId="0" applyFont="1" applyFill="1" applyBorder="1" applyAlignment="1">
      <alignment vertical="center" wrapText="1"/>
    </xf>
    <xf numFmtId="0" fontId="19" fillId="4" borderId="3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/>
    <xf numFmtId="0" fontId="8" fillId="4" borderId="0" xfId="0" applyFont="1" applyFill="1" applyAlignment="1">
      <alignment horizontal="left" vertical="top"/>
    </xf>
    <xf numFmtId="0" fontId="12" fillId="4" borderId="4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vertical="center"/>
    </xf>
    <xf numFmtId="0" fontId="17" fillId="2" borderId="38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7" fillId="2" borderId="42" xfId="0" applyFont="1" applyFill="1" applyBorder="1" applyAlignment="1">
      <alignment vertical="center" wrapText="1"/>
    </xf>
    <xf numFmtId="0" fontId="17" fillId="2" borderId="36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15" fillId="2" borderId="4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 wrapText="1"/>
    </xf>
    <xf numFmtId="0" fontId="17" fillId="2" borderId="65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4" fontId="25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65" fontId="2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65" fontId="24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4" fontId="28" fillId="2" borderId="0" xfId="0" applyNumberFormat="1" applyFont="1" applyFill="1" applyAlignment="1">
      <alignment vertical="center"/>
    </xf>
    <xf numFmtId="3" fontId="12" fillId="6" borderId="73" xfId="0" applyNumberFormat="1" applyFont="1" applyFill="1" applyBorder="1" applyAlignment="1">
      <alignment horizontal="center" vertical="center" wrapText="1"/>
    </xf>
    <xf numFmtId="44" fontId="12" fillId="6" borderId="49" xfId="0" applyNumberFormat="1" applyFont="1" applyFill="1" applyBorder="1" applyAlignment="1">
      <alignment horizontal="center" vertical="center" wrapText="1"/>
    </xf>
    <xf numFmtId="44" fontId="12" fillId="6" borderId="73" xfId="0" applyNumberFormat="1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left" vertical="center" wrapText="1"/>
    </xf>
    <xf numFmtId="0" fontId="17" fillId="6" borderId="48" xfId="0" applyFont="1" applyFill="1" applyBorder="1" applyAlignment="1">
      <alignment horizontal="left" vertical="center" wrapText="1"/>
    </xf>
    <xf numFmtId="3" fontId="17" fillId="6" borderId="73" xfId="0" applyNumberFormat="1" applyFont="1" applyFill="1" applyBorder="1" applyAlignment="1">
      <alignment horizontal="center" vertical="center" wrapText="1"/>
    </xf>
    <xf numFmtId="44" fontId="17" fillId="6" borderId="49" xfId="0" applyNumberFormat="1" applyFont="1" applyFill="1" applyBorder="1" applyAlignment="1">
      <alignment horizontal="center" vertical="center" wrapText="1"/>
    </xf>
    <xf numFmtId="44" fontId="17" fillId="6" borderId="73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4" fontId="12" fillId="2" borderId="0" xfId="0" applyNumberFormat="1" applyFont="1" applyFill="1" applyAlignment="1">
      <alignment horizontal="center" vertical="center" wrapText="1"/>
    </xf>
    <xf numFmtId="0" fontId="12" fillId="2" borderId="91" xfId="0" applyFont="1" applyFill="1" applyBorder="1" applyAlignment="1">
      <alignment horizontal="center" vertical="center" wrapText="1"/>
    </xf>
    <xf numFmtId="44" fontId="12" fillId="2" borderId="91" xfId="0" applyNumberFormat="1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44" fontId="12" fillId="2" borderId="62" xfId="0" applyNumberFormat="1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44" fontId="17" fillId="0" borderId="90" xfId="0" applyNumberFormat="1" applyFont="1" applyBorder="1"/>
    <xf numFmtId="44" fontId="17" fillId="0" borderId="85" xfId="0" applyNumberFormat="1" applyFont="1" applyBorder="1"/>
    <xf numFmtId="44" fontId="17" fillId="0" borderId="86" xfId="0" applyNumberFormat="1" applyFont="1" applyBorder="1"/>
    <xf numFmtId="44" fontId="12" fillId="6" borderId="50" xfId="0" applyNumberFormat="1" applyFont="1" applyFill="1" applyBorder="1"/>
    <xf numFmtId="0" fontId="12" fillId="10" borderId="73" xfId="0" applyFont="1" applyFill="1" applyBorder="1" applyAlignment="1">
      <alignment horizontal="center" vertical="center" wrapText="1"/>
    </xf>
    <xf numFmtId="44" fontId="17" fillId="0" borderId="79" xfId="0" applyNumberFormat="1" applyFont="1" applyBorder="1"/>
    <xf numFmtId="44" fontId="17" fillId="0" borderId="80" xfId="0" applyNumberFormat="1" applyFont="1" applyBorder="1"/>
    <xf numFmtId="44" fontId="17" fillId="0" borderId="81" xfId="0" applyNumberFormat="1" applyFont="1" applyBorder="1"/>
    <xf numFmtId="44" fontId="12" fillId="6" borderId="73" xfId="0" applyNumberFormat="1" applyFont="1" applyFill="1" applyBorder="1"/>
    <xf numFmtId="0" fontId="6" fillId="13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vertical="center"/>
    </xf>
    <xf numFmtId="0" fontId="15" fillId="6" borderId="31" xfId="0" applyFont="1" applyFill="1" applyBorder="1" applyAlignment="1">
      <alignment horizontal="center" vertical="center"/>
    </xf>
    <xf numFmtId="0" fontId="6" fillId="8" borderId="93" xfId="0" applyFont="1" applyFill="1" applyBorder="1" applyAlignment="1">
      <alignment vertical="center"/>
    </xf>
    <xf numFmtId="1" fontId="17" fillId="2" borderId="74" xfId="0" applyNumberFormat="1" applyFont="1" applyFill="1" applyBorder="1" applyAlignment="1">
      <alignment vertical="center" wrapText="1"/>
    </xf>
    <xf numFmtId="1" fontId="17" fillId="2" borderId="75" xfId="0" applyNumberFormat="1" applyFont="1" applyFill="1" applyBorder="1" applyAlignment="1">
      <alignment vertical="center" wrapText="1"/>
    </xf>
    <xf numFmtId="1" fontId="17" fillId="2" borderId="88" xfId="0" applyNumberFormat="1" applyFont="1" applyFill="1" applyBorder="1" applyAlignment="1">
      <alignment vertical="center" wrapText="1"/>
    </xf>
    <xf numFmtId="1" fontId="17" fillId="2" borderId="36" xfId="0" applyNumberFormat="1" applyFont="1" applyFill="1" applyBorder="1" applyAlignment="1">
      <alignment vertical="center" wrapText="1"/>
    </xf>
    <xf numFmtId="1" fontId="17" fillId="2" borderId="37" xfId="0" applyNumberFormat="1" applyFont="1" applyFill="1" applyBorder="1" applyAlignment="1">
      <alignment vertical="center" wrapText="1"/>
    </xf>
    <xf numFmtId="1" fontId="17" fillId="2" borderId="77" xfId="0" applyNumberFormat="1" applyFont="1" applyFill="1" applyBorder="1" applyAlignment="1">
      <alignment vertical="center" wrapText="1"/>
    </xf>
    <xf numFmtId="1" fontId="17" fillId="2" borderId="39" xfId="0" applyNumberFormat="1" applyFont="1" applyFill="1" applyBorder="1" applyAlignment="1">
      <alignment vertical="center" wrapText="1"/>
    </xf>
    <xf numFmtId="1" fontId="17" fillId="2" borderId="40" xfId="0" applyNumberFormat="1" applyFont="1" applyFill="1" applyBorder="1" applyAlignment="1">
      <alignment vertical="center" wrapText="1"/>
    </xf>
    <xf numFmtId="1" fontId="17" fillId="2" borderId="78" xfId="0" applyNumberFormat="1" applyFont="1" applyFill="1" applyBorder="1" applyAlignment="1">
      <alignment vertical="center" wrapText="1"/>
    </xf>
    <xf numFmtId="44" fontId="17" fillId="9" borderId="75" xfId="0" applyNumberFormat="1" applyFont="1" applyFill="1" applyBorder="1" applyAlignment="1">
      <alignment horizontal="center" vertical="center" wrapText="1"/>
    </xf>
    <xf numFmtId="44" fontId="17" fillId="9" borderId="37" xfId="0" applyNumberFormat="1" applyFont="1" applyFill="1" applyBorder="1" applyAlignment="1">
      <alignment horizontal="center" vertical="center" wrapText="1"/>
    </xf>
    <xf numFmtId="44" fontId="17" fillId="9" borderId="40" xfId="0" applyNumberFormat="1" applyFont="1" applyFill="1" applyBorder="1" applyAlignment="1">
      <alignment horizontal="center" vertical="center" wrapText="1"/>
    </xf>
    <xf numFmtId="0" fontId="12" fillId="24" borderId="73" xfId="0" applyFont="1" applyFill="1" applyBorder="1" applyAlignment="1">
      <alignment horizontal="center" vertical="center" wrapText="1"/>
    </xf>
    <xf numFmtId="44" fontId="17" fillId="25" borderId="79" xfId="0" applyNumberFormat="1" applyFont="1" applyFill="1" applyBorder="1" applyAlignment="1">
      <alignment horizontal="center" vertical="center" wrapText="1"/>
    </xf>
    <xf numFmtId="44" fontId="17" fillId="25" borderId="80" xfId="0" applyNumberFormat="1" applyFont="1" applyFill="1" applyBorder="1" applyAlignment="1">
      <alignment horizontal="center" vertical="center" wrapText="1"/>
    </xf>
    <xf numFmtId="44" fontId="17" fillId="25" borderId="81" xfId="0" applyNumberFormat="1" applyFont="1" applyFill="1" applyBorder="1" applyAlignment="1">
      <alignment horizontal="center" vertical="center" wrapText="1"/>
    </xf>
    <xf numFmtId="44" fontId="12" fillId="26" borderId="62" xfId="0" applyNumberFormat="1" applyFont="1" applyFill="1" applyBorder="1" applyAlignment="1">
      <alignment horizontal="center" vertical="center" wrapText="1"/>
    </xf>
    <xf numFmtId="168" fontId="17" fillId="6" borderId="73" xfId="0" applyNumberFormat="1" applyFont="1" applyFill="1" applyBorder="1" applyAlignment="1">
      <alignment horizontal="center" vertical="center" wrapText="1"/>
    </xf>
    <xf numFmtId="44" fontId="17" fillId="2" borderId="98" xfId="0" applyNumberFormat="1" applyFont="1" applyFill="1" applyBorder="1" applyAlignment="1">
      <alignment horizontal="center" vertical="center" wrapText="1"/>
    </xf>
    <xf numFmtId="44" fontId="17" fillId="2" borderId="38" xfId="0" applyNumberFormat="1" applyFont="1" applyFill="1" applyBorder="1" applyAlignment="1">
      <alignment horizontal="center" vertical="center" wrapText="1"/>
    </xf>
    <xf numFmtId="44" fontId="17" fillId="2" borderId="41" xfId="0" applyNumberFormat="1" applyFont="1" applyFill="1" applyBorder="1" applyAlignment="1">
      <alignment horizontal="center" vertical="center" wrapText="1"/>
    </xf>
    <xf numFmtId="169" fontId="12" fillId="2" borderId="91" xfId="0" applyNumberFormat="1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87" xfId="0" applyFont="1" applyFill="1" applyBorder="1" applyAlignment="1">
      <alignment horizontal="center" vertical="center" wrapText="1"/>
    </xf>
    <xf numFmtId="0" fontId="12" fillId="10" borderId="96" xfId="0" applyFont="1" applyFill="1" applyBorder="1" applyAlignment="1">
      <alignment horizontal="center" vertical="center" wrapText="1"/>
    </xf>
    <xf numFmtId="44" fontId="17" fillId="9" borderId="88" xfId="0" applyNumberFormat="1" applyFont="1" applyFill="1" applyBorder="1" applyAlignment="1">
      <alignment horizontal="center" vertical="center" wrapText="1"/>
    </xf>
    <xf numFmtId="44" fontId="17" fillId="9" borderId="77" xfId="0" applyNumberFormat="1" applyFont="1" applyFill="1" applyBorder="1" applyAlignment="1">
      <alignment horizontal="center" vertical="center" wrapText="1"/>
    </xf>
    <xf numFmtId="44" fontId="17" fillId="9" borderId="88" xfId="0" applyNumberFormat="1" applyFont="1" applyFill="1" applyBorder="1" applyAlignment="1">
      <alignment horizontal="right" vertical="center" wrapText="1"/>
    </xf>
    <xf numFmtId="44" fontId="17" fillId="9" borderId="77" xfId="0" applyNumberFormat="1" applyFont="1" applyFill="1" applyBorder="1" applyAlignment="1">
      <alignment horizontal="right" vertical="center" wrapText="1"/>
    </xf>
    <xf numFmtId="1" fontId="17" fillId="2" borderId="97" xfId="0" applyNumberFormat="1" applyFont="1" applyFill="1" applyBorder="1" applyAlignment="1">
      <alignment horizontal="center" vertical="center" wrapText="1"/>
    </xf>
    <xf numFmtId="1" fontId="17" fillId="2" borderId="55" xfId="0" applyNumberFormat="1" applyFont="1" applyFill="1" applyBorder="1" applyAlignment="1">
      <alignment horizontal="center" vertical="center" wrapText="1"/>
    </xf>
    <xf numFmtId="1" fontId="17" fillId="2" borderId="57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1" fontId="17" fillId="2" borderId="74" xfId="0" applyNumberFormat="1" applyFont="1" applyFill="1" applyBorder="1" applyAlignment="1">
      <alignment horizontal="center" vertical="center" wrapText="1"/>
    </xf>
    <xf numFmtId="1" fontId="17" fillId="2" borderId="36" xfId="0" applyNumberFormat="1" applyFont="1" applyFill="1" applyBorder="1" applyAlignment="1">
      <alignment horizontal="center" vertical="center" wrapText="1"/>
    </xf>
    <xf numFmtId="1" fontId="17" fillId="2" borderId="3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44" fontId="17" fillId="9" borderId="103" xfId="0" applyNumberFormat="1" applyFont="1" applyFill="1" applyBorder="1" applyAlignment="1">
      <alignment horizontal="center" vertical="center" wrapText="1"/>
    </xf>
    <xf numFmtId="44" fontId="12" fillId="2" borderId="73" xfId="0" applyNumberFormat="1" applyFont="1" applyFill="1" applyBorder="1" applyAlignment="1">
      <alignment horizontal="center" vertical="center" wrapText="1"/>
    </xf>
    <xf numFmtId="1" fontId="17" fillId="19" borderId="42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2" xfId="0" applyNumberFormat="1" applyFont="1" applyFill="1" applyBorder="1" applyAlignment="1" applyProtection="1">
      <alignment vertical="center" wrapText="1"/>
      <protection locked="0"/>
    </xf>
    <xf numFmtId="1" fontId="17" fillId="19" borderId="71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3" xfId="0" applyNumberFormat="1" applyFont="1" applyFill="1" applyBorder="1" applyAlignment="1" applyProtection="1">
      <alignment vertical="center" wrapText="1"/>
      <protection locked="0"/>
    </xf>
    <xf numFmtId="1" fontId="17" fillId="19" borderId="76" xfId="0" applyNumberFormat="1" applyFont="1" applyFill="1" applyBorder="1" applyAlignment="1" applyProtection="1">
      <alignment vertical="center" wrapText="1"/>
      <protection locked="0"/>
    </xf>
    <xf numFmtId="168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55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7" xfId="0" applyNumberFormat="1" applyFont="1" applyFill="1" applyBorder="1" applyAlignment="1" applyProtection="1">
      <alignment vertical="center" wrapText="1"/>
      <protection locked="0"/>
    </xf>
    <xf numFmtId="168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vertical="center" wrapText="1"/>
      <protection locked="0"/>
    </xf>
    <xf numFmtId="1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9" xfId="0" applyNumberFormat="1" applyFont="1" applyFill="1" applyBorder="1" applyAlignment="1" applyProtection="1">
      <alignment vertical="center" wrapText="1"/>
      <protection locked="0"/>
    </xf>
    <xf numFmtId="1" fontId="17" fillId="19" borderId="57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0" xfId="0" applyNumberFormat="1" applyFont="1" applyFill="1" applyBorder="1" applyAlignment="1" applyProtection="1">
      <alignment vertical="center" wrapText="1"/>
      <protection locked="0"/>
    </xf>
    <xf numFmtId="168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165" fontId="17" fillId="19" borderId="84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85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86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90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74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79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80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9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81" xfId="0" applyNumberFormat="1" applyFont="1" applyFill="1" applyBorder="1" applyAlignment="1" applyProtection="1">
      <alignment horizontal="center" vertical="center" wrapText="1"/>
      <protection locked="0"/>
    </xf>
    <xf numFmtId="0" fontId="12" fillId="19" borderId="73" xfId="0" applyFont="1" applyFill="1" applyBorder="1" applyAlignment="1" applyProtection="1">
      <alignment horizontal="center" vertical="center"/>
      <protection locked="0"/>
    </xf>
    <xf numFmtId="44" fontId="17" fillId="19" borderId="37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4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19" borderId="43" xfId="0" applyFont="1" applyFill="1" applyBorder="1" applyAlignment="1" applyProtection="1">
      <alignment horizontal="center" vertical="center" wrapText="1"/>
      <protection locked="0"/>
    </xf>
    <xf numFmtId="0" fontId="15" fillId="19" borderId="40" xfId="0" applyFont="1" applyFill="1" applyBorder="1" applyAlignment="1" applyProtection="1">
      <alignment horizontal="center" vertical="center" wrapText="1"/>
      <protection locked="0"/>
    </xf>
    <xf numFmtId="0" fontId="15" fillId="19" borderId="37" xfId="0" applyFont="1" applyFill="1" applyBorder="1" applyAlignment="1" applyProtection="1">
      <alignment horizontal="center" vertical="center" wrapText="1"/>
      <protection locked="0"/>
    </xf>
    <xf numFmtId="0" fontId="15" fillId="19" borderId="64" xfId="0" applyFont="1" applyFill="1" applyBorder="1" applyAlignment="1" applyProtection="1">
      <alignment horizontal="center" vertical="center" wrapText="1"/>
      <protection locked="0"/>
    </xf>
    <xf numFmtId="0" fontId="20" fillId="19" borderId="33" xfId="0" applyFont="1" applyFill="1" applyBorder="1" applyAlignment="1" applyProtection="1">
      <alignment horizontal="center" vertical="center"/>
      <protection locked="0"/>
    </xf>
    <xf numFmtId="0" fontId="15" fillId="19" borderId="37" xfId="0" applyFont="1" applyFill="1" applyBorder="1" applyAlignment="1" applyProtection="1">
      <alignment horizontal="center" vertical="center"/>
      <protection locked="0"/>
    </xf>
    <xf numFmtId="0" fontId="15" fillId="19" borderId="40" xfId="0" applyFont="1" applyFill="1" applyBorder="1" applyAlignment="1" applyProtection="1">
      <alignment horizontal="center" vertical="center"/>
      <protection locked="0"/>
    </xf>
    <xf numFmtId="1" fontId="1" fillId="14" borderId="4" xfId="0" applyNumberFormat="1" applyFont="1" applyFill="1" applyBorder="1" applyAlignment="1">
      <alignment horizontal="left" vertical="center"/>
    </xf>
    <xf numFmtId="1" fontId="1" fillId="14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4" borderId="4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166" fontId="12" fillId="11" borderId="92" xfId="0" applyNumberFormat="1" applyFont="1" applyFill="1" applyBorder="1" applyAlignment="1">
      <alignment vertical="center"/>
    </xf>
    <xf numFmtId="166" fontId="12" fillId="11" borderId="90" xfId="0" applyNumberFormat="1" applyFont="1" applyFill="1" applyBorder="1" applyAlignment="1">
      <alignment vertical="center"/>
    </xf>
    <xf numFmtId="166" fontId="17" fillId="2" borderId="37" xfId="0" applyNumberFormat="1" applyFont="1" applyFill="1" applyBorder="1" applyAlignment="1">
      <alignment vertical="center"/>
    </xf>
    <xf numFmtId="166" fontId="17" fillId="2" borderId="36" xfId="0" applyNumberFormat="1" applyFont="1" applyFill="1" applyBorder="1" applyAlignment="1">
      <alignment vertical="center"/>
    </xf>
    <xf numFmtId="166" fontId="17" fillId="2" borderId="38" xfId="0" applyNumberFormat="1" applyFont="1" applyFill="1" applyBorder="1" applyAlignment="1">
      <alignment vertical="center"/>
    </xf>
    <xf numFmtId="4" fontId="16" fillId="2" borderId="0" xfId="0" applyNumberFormat="1" applyFont="1" applyFill="1"/>
    <xf numFmtId="166" fontId="17" fillId="2" borderId="40" xfId="0" applyNumberFormat="1" applyFont="1" applyFill="1" applyBorder="1" applyAlignment="1">
      <alignment vertical="center"/>
    </xf>
    <xf numFmtId="166" fontId="17" fillId="2" borderId="39" xfId="0" applyNumberFormat="1" applyFont="1" applyFill="1" applyBorder="1" applyAlignment="1">
      <alignment vertical="center"/>
    </xf>
    <xf numFmtId="166" fontId="17" fillId="2" borderId="41" xfId="0" applyNumberFormat="1" applyFont="1" applyFill="1" applyBorder="1" applyAlignment="1">
      <alignment vertical="center"/>
    </xf>
    <xf numFmtId="166" fontId="12" fillId="2" borderId="46" xfId="0" applyNumberFormat="1" applyFont="1" applyFill="1" applyBorder="1" applyAlignment="1">
      <alignment vertical="center"/>
    </xf>
    <xf numFmtId="166" fontId="12" fillId="2" borderId="45" xfId="0" applyNumberFormat="1" applyFont="1" applyFill="1" applyBorder="1" applyAlignment="1">
      <alignment vertical="center"/>
    </xf>
    <xf numFmtId="166" fontId="12" fillId="2" borderId="47" xfId="0" applyNumberFormat="1" applyFont="1" applyFill="1" applyBorder="1" applyAlignment="1">
      <alignment vertical="center"/>
    </xf>
    <xf numFmtId="166" fontId="32" fillId="2" borderId="45" xfId="0" applyNumberFormat="1" applyFont="1" applyFill="1" applyBorder="1" applyAlignment="1">
      <alignment vertical="center"/>
    </xf>
    <xf numFmtId="166" fontId="32" fillId="2" borderId="46" xfId="0" applyNumberFormat="1" applyFont="1" applyFill="1" applyBorder="1" applyAlignment="1">
      <alignment vertical="center"/>
    </xf>
    <xf numFmtId="166" fontId="32" fillId="2" borderId="47" xfId="0" applyNumberFormat="1" applyFont="1" applyFill="1" applyBorder="1" applyAlignment="1">
      <alignment vertical="center"/>
    </xf>
    <xf numFmtId="0" fontId="17" fillId="16" borderId="0" xfId="0" applyFont="1" applyFill="1" applyAlignment="1">
      <alignment vertical="center" wrapText="1"/>
    </xf>
    <xf numFmtId="166" fontId="17" fillId="2" borderId="0" xfId="0" applyNumberFormat="1" applyFont="1" applyFill="1" applyAlignment="1">
      <alignment vertical="center"/>
    </xf>
    <xf numFmtId="166" fontId="17" fillId="17" borderId="0" xfId="0" applyNumberFormat="1" applyFont="1" applyFill="1" applyAlignment="1">
      <alignment vertical="center"/>
    </xf>
    <xf numFmtId="0" fontId="17" fillId="19" borderId="38" xfId="0" applyFont="1" applyFill="1" applyBorder="1" applyAlignment="1" applyProtection="1">
      <alignment vertical="center"/>
      <protection locked="0"/>
    </xf>
    <xf numFmtId="0" fontId="17" fillId="19" borderId="41" xfId="0" applyFont="1" applyFill="1" applyBorder="1" applyAlignment="1" applyProtection="1">
      <alignment vertical="center"/>
      <protection locked="0"/>
    </xf>
    <xf numFmtId="1" fontId="17" fillId="19" borderId="75" xfId="0" applyNumberFormat="1" applyFont="1" applyFill="1" applyBorder="1" applyAlignment="1" applyProtection="1">
      <alignment vertical="center" wrapText="1"/>
      <protection locked="0"/>
    </xf>
    <xf numFmtId="44" fontId="17" fillId="19" borderId="75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75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37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4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2" fillId="2" borderId="0" xfId="0" applyFont="1" applyFill="1"/>
    <xf numFmtId="0" fontId="17" fillId="0" borderId="0" xfId="0" applyFont="1" applyAlignment="1">
      <alignment horizontal="center"/>
    </xf>
    <xf numFmtId="0" fontId="17" fillId="19" borderId="74" xfId="0" applyFont="1" applyFill="1" applyBorder="1" applyProtection="1">
      <protection locked="0"/>
    </xf>
    <xf numFmtId="0" fontId="17" fillId="19" borderId="75" xfId="0" applyFont="1" applyFill="1" applyBorder="1" applyProtection="1">
      <protection locked="0"/>
    </xf>
    <xf numFmtId="0" fontId="17" fillId="19" borderId="36" xfId="0" applyFont="1" applyFill="1" applyBorder="1" applyProtection="1">
      <protection locked="0"/>
    </xf>
    <xf numFmtId="0" fontId="17" fillId="19" borderId="37" xfId="0" applyFont="1" applyFill="1" applyBorder="1" applyProtection="1">
      <protection locked="0"/>
    </xf>
    <xf numFmtId="0" fontId="17" fillId="19" borderId="39" xfId="0" applyFont="1" applyFill="1" applyBorder="1" applyProtection="1">
      <protection locked="0"/>
    </xf>
    <xf numFmtId="0" fontId="17" fillId="19" borderId="40" xfId="0" applyFont="1" applyFill="1" applyBorder="1" applyProtection="1">
      <protection locked="0"/>
    </xf>
    <xf numFmtId="0" fontId="29" fillId="23" borderId="0" xfId="0" applyFont="1" applyFill="1"/>
    <xf numFmtId="6" fontId="16" fillId="0" borderId="0" xfId="0" applyNumberFormat="1" applyFont="1"/>
    <xf numFmtId="0" fontId="16" fillId="0" borderId="0" xfId="0" applyFont="1" applyAlignment="1">
      <alignment horizontal="left"/>
    </xf>
    <xf numFmtId="0" fontId="16" fillId="11" borderId="0" xfId="0" applyFont="1" applyFill="1"/>
    <xf numFmtId="44" fontId="17" fillId="29" borderId="75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98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37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38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40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41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90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85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86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45" xfId="0" applyFont="1" applyFill="1" applyBorder="1" applyAlignment="1">
      <alignment vertical="center" wrapText="1"/>
    </xf>
    <xf numFmtId="1" fontId="17" fillId="19" borderId="74" xfId="0" applyNumberFormat="1" applyFont="1" applyFill="1" applyBorder="1" applyAlignment="1" applyProtection="1">
      <alignment vertical="center" wrapText="1"/>
      <protection locked="0"/>
    </xf>
    <xf numFmtId="0" fontId="17" fillId="21" borderId="37" xfId="0" applyFont="1" applyFill="1" applyBorder="1" applyAlignment="1" applyProtection="1">
      <alignment horizontal="left" vertical="center" wrapText="1"/>
      <protection locked="0"/>
    </xf>
    <xf numFmtId="0" fontId="17" fillId="21" borderId="40" xfId="0" applyFont="1" applyFill="1" applyBorder="1" applyAlignment="1" applyProtection="1">
      <alignment horizontal="left" vertical="center" wrapText="1"/>
      <protection locked="0"/>
    </xf>
    <xf numFmtId="166" fontId="17" fillId="2" borderId="110" xfId="0" applyNumberFormat="1" applyFont="1" applyFill="1" applyBorder="1" applyAlignment="1">
      <alignment vertical="center"/>
    </xf>
    <xf numFmtId="0" fontId="14" fillId="5" borderId="61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2" fillId="10" borderId="112" xfId="0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horizontal="center" vertical="center" wrapText="1"/>
    </xf>
    <xf numFmtId="0" fontId="12" fillId="10" borderId="58" xfId="0" applyFont="1" applyFill="1" applyBorder="1" applyAlignment="1">
      <alignment horizontal="center" vertical="center" wrapText="1"/>
    </xf>
    <xf numFmtId="0" fontId="12" fillId="10" borderId="60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19" borderId="75" xfId="0" applyFont="1" applyFill="1" applyBorder="1" applyAlignment="1" applyProtection="1">
      <alignment horizontal="center"/>
      <protection locked="0"/>
    </xf>
    <xf numFmtId="10" fontId="17" fillId="19" borderId="98" xfId="0" applyNumberFormat="1" applyFont="1" applyFill="1" applyBorder="1" applyAlignment="1" applyProtection="1">
      <alignment horizontal="center"/>
      <protection locked="0"/>
    </xf>
    <xf numFmtId="0" fontId="17" fillId="19" borderId="37" xfId="0" applyFont="1" applyFill="1" applyBorder="1" applyAlignment="1" applyProtection="1">
      <alignment horizontal="center"/>
      <protection locked="0"/>
    </xf>
    <xf numFmtId="10" fontId="17" fillId="19" borderId="38" xfId="0" applyNumberFormat="1" applyFont="1" applyFill="1" applyBorder="1" applyAlignment="1" applyProtection="1">
      <alignment horizontal="center"/>
      <protection locked="0"/>
    </xf>
    <xf numFmtId="0" fontId="17" fillId="19" borderId="40" xfId="0" applyFont="1" applyFill="1" applyBorder="1" applyAlignment="1" applyProtection="1">
      <alignment horizontal="center"/>
      <protection locked="0"/>
    </xf>
    <xf numFmtId="10" fontId="17" fillId="19" borderId="4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/>
    <xf numFmtId="44" fontId="12" fillId="6" borderId="98" xfId="0" applyNumberFormat="1" applyFont="1" applyFill="1" applyBorder="1" applyAlignment="1">
      <alignment horizontal="center" vertical="center" wrapText="1"/>
    </xf>
    <xf numFmtId="44" fontId="12" fillId="6" borderId="38" xfId="0" applyNumberFormat="1" applyFont="1" applyFill="1" applyBorder="1" applyAlignment="1">
      <alignment horizontal="center" vertical="center" wrapText="1"/>
    </xf>
    <xf numFmtId="44" fontId="12" fillId="6" borderId="41" xfId="0" applyNumberFormat="1" applyFont="1" applyFill="1" applyBorder="1" applyAlignment="1">
      <alignment horizontal="center" vertical="center" wrapText="1"/>
    </xf>
    <xf numFmtId="0" fontId="17" fillId="19" borderId="77" xfId="0" applyFont="1" applyFill="1" applyBorder="1" applyProtection="1">
      <protection locked="0"/>
    </xf>
    <xf numFmtId="0" fontId="17" fillId="19" borderId="78" xfId="0" applyFont="1" applyFill="1" applyBorder="1" applyProtection="1">
      <protection locked="0"/>
    </xf>
    <xf numFmtId="0" fontId="17" fillId="19" borderId="79" xfId="0" applyFont="1" applyFill="1" applyBorder="1" applyAlignment="1" applyProtection="1">
      <alignment horizontal="left" vertical="center" wrapText="1"/>
      <protection locked="0"/>
    </xf>
    <xf numFmtId="0" fontId="17" fillId="19" borderId="80" xfId="0" applyFont="1" applyFill="1" applyBorder="1" applyAlignment="1" applyProtection="1">
      <alignment horizontal="left" vertical="center" wrapText="1"/>
      <protection locked="0"/>
    </xf>
    <xf numFmtId="0" fontId="17" fillId="19" borderId="81" xfId="0" applyFont="1" applyFill="1" applyBorder="1" applyAlignment="1" applyProtection="1">
      <alignment horizontal="left" vertical="center" wrapText="1"/>
      <protection locked="0"/>
    </xf>
    <xf numFmtId="1" fontId="17" fillId="19" borderId="81" xfId="0" applyNumberFormat="1" applyFont="1" applyFill="1" applyBorder="1" applyAlignment="1" applyProtection="1">
      <alignment vertical="center" wrapText="1"/>
      <protection locked="0"/>
    </xf>
    <xf numFmtId="166" fontId="12" fillId="6" borderId="45" xfId="0" applyNumberFormat="1" applyFont="1" applyFill="1" applyBorder="1" applyAlignment="1">
      <alignment vertical="center"/>
    </xf>
    <xf numFmtId="166" fontId="12" fillId="6" borderId="46" xfId="0" applyNumberFormat="1" applyFont="1" applyFill="1" applyBorder="1" applyAlignment="1">
      <alignment vertical="center"/>
    </xf>
    <xf numFmtId="166" fontId="12" fillId="6" borderId="47" xfId="0" applyNumberFormat="1" applyFont="1" applyFill="1" applyBorder="1" applyAlignment="1">
      <alignment vertical="center"/>
    </xf>
    <xf numFmtId="0" fontId="12" fillId="4" borderId="7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/>
    </xf>
    <xf numFmtId="166" fontId="17" fillId="2" borderId="74" xfId="0" applyNumberFormat="1" applyFont="1" applyFill="1" applyBorder="1" applyAlignment="1">
      <alignment vertical="center"/>
    </xf>
    <xf numFmtId="166" fontId="17" fillId="2" borderId="75" xfId="0" applyNumberFormat="1" applyFont="1" applyFill="1" applyBorder="1" applyAlignment="1">
      <alignment vertical="center"/>
    </xf>
    <xf numFmtId="166" fontId="17" fillId="2" borderId="98" xfId="0" applyNumberFormat="1" applyFont="1" applyFill="1" applyBorder="1" applyAlignment="1">
      <alignment vertical="center"/>
    </xf>
    <xf numFmtId="166" fontId="12" fillId="6" borderId="107" xfId="0" applyNumberFormat="1" applyFont="1" applyFill="1" applyBorder="1" applyAlignment="1">
      <alignment vertical="center"/>
    </xf>
    <xf numFmtId="166" fontId="12" fillId="6" borderId="91" xfId="0" applyNumberFormat="1" applyFont="1" applyFill="1" applyBorder="1" applyAlignment="1">
      <alignment vertical="center"/>
    </xf>
    <xf numFmtId="44" fontId="17" fillId="6" borderId="75" xfId="0" applyNumberFormat="1" applyFont="1" applyFill="1" applyBorder="1" applyAlignment="1">
      <alignment horizontal="center" vertical="center" wrapText="1"/>
    </xf>
    <xf numFmtId="44" fontId="17" fillId="6" borderId="88" xfId="0" applyNumberFormat="1" applyFont="1" applyFill="1" applyBorder="1" applyAlignment="1">
      <alignment horizontal="center" vertical="center" wrapText="1"/>
    </xf>
    <xf numFmtId="44" fontId="17" fillId="6" borderId="98" xfId="0" applyNumberFormat="1" applyFont="1" applyFill="1" applyBorder="1" applyAlignment="1">
      <alignment horizontal="center" vertical="center" wrapText="1"/>
    </xf>
    <xf numFmtId="165" fontId="17" fillId="6" borderId="84" xfId="0" applyNumberFormat="1" applyFont="1" applyFill="1" applyBorder="1" applyAlignment="1">
      <alignment horizontal="left" vertical="center" wrapText="1"/>
    </xf>
    <xf numFmtId="0" fontId="35" fillId="6" borderId="0" xfId="0" applyFont="1" applyFill="1"/>
    <xf numFmtId="44" fontId="17" fillId="6" borderId="37" xfId="0" applyNumberFormat="1" applyFont="1" applyFill="1" applyBorder="1" applyAlignment="1">
      <alignment horizontal="center" vertical="center" wrapText="1"/>
    </xf>
    <xf numFmtId="44" fontId="17" fillId="6" borderId="77" xfId="0" applyNumberFormat="1" applyFont="1" applyFill="1" applyBorder="1" applyAlignment="1">
      <alignment horizontal="center" vertical="center" wrapText="1"/>
    </xf>
    <xf numFmtId="44" fontId="17" fillId="6" borderId="38" xfId="0" applyNumberFormat="1" applyFont="1" applyFill="1" applyBorder="1" applyAlignment="1">
      <alignment horizontal="center" vertical="center" wrapText="1"/>
    </xf>
    <xf numFmtId="44" fontId="17" fillId="6" borderId="77" xfId="0" applyNumberFormat="1" applyFont="1" applyFill="1" applyBorder="1" applyAlignment="1">
      <alignment horizontal="right" vertical="center" wrapText="1"/>
    </xf>
    <xf numFmtId="165" fontId="17" fillId="6" borderId="85" xfId="0" applyNumberFormat="1" applyFont="1" applyFill="1" applyBorder="1" applyAlignment="1">
      <alignment horizontal="left" vertical="center" wrapText="1"/>
    </xf>
    <xf numFmtId="44" fontId="17" fillId="6" borderId="40" xfId="0" applyNumberFormat="1" applyFont="1" applyFill="1" applyBorder="1" applyAlignment="1">
      <alignment horizontal="center" vertical="center" wrapText="1"/>
    </xf>
    <xf numFmtId="44" fontId="17" fillId="6" borderId="78" xfId="0" applyNumberFormat="1" applyFont="1" applyFill="1" applyBorder="1" applyAlignment="1">
      <alignment horizontal="center" vertical="center" wrapText="1"/>
    </xf>
    <xf numFmtId="44" fontId="17" fillId="6" borderId="41" xfId="0" applyNumberFormat="1" applyFont="1" applyFill="1" applyBorder="1" applyAlignment="1">
      <alignment horizontal="center" vertical="center" wrapText="1"/>
    </xf>
    <xf numFmtId="44" fontId="17" fillId="6" borderId="103" xfId="0" applyNumberFormat="1" applyFont="1" applyFill="1" applyBorder="1" applyAlignment="1">
      <alignment horizontal="center" vertical="center" wrapText="1"/>
    </xf>
    <xf numFmtId="165" fontId="17" fillId="6" borderId="86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4" fontId="12" fillId="6" borderId="45" xfId="0" applyNumberFormat="1" applyFont="1" applyFill="1" applyBorder="1" applyAlignment="1">
      <alignment horizontal="center" vertical="center" wrapText="1"/>
    </xf>
    <xf numFmtId="4" fontId="12" fillId="6" borderId="46" xfId="0" applyNumberFormat="1" applyFont="1" applyFill="1" applyBorder="1" applyAlignment="1">
      <alignment horizontal="center" vertical="center" wrapText="1"/>
    </xf>
    <xf numFmtId="44" fontId="12" fillId="6" borderId="46" xfId="0" applyNumberFormat="1" applyFont="1" applyFill="1" applyBorder="1" applyAlignment="1">
      <alignment horizontal="center" vertical="center" wrapText="1"/>
    </xf>
    <xf numFmtId="44" fontId="12" fillId="6" borderId="47" xfId="0" applyNumberFormat="1" applyFont="1" applyFill="1" applyBorder="1" applyAlignment="1">
      <alignment horizontal="center" vertical="center" wrapText="1"/>
    </xf>
    <xf numFmtId="4" fontId="12" fillId="6" borderId="73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12" fillId="10" borderId="48" xfId="0" applyFont="1" applyFill="1" applyBorder="1" applyAlignment="1">
      <alignment horizontal="center" vertical="center" wrapText="1"/>
    </xf>
    <xf numFmtId="44" fontId="17" fillId="33" borderId="79" xfId="0" applyNumberFormat="1" applyFont="1" applyFill="1" applyBorder="1" applyAlignment="1">
      <alignment horizontal="center" vertical="center" wrapText="1"/>
    </xf>
    <xf numFmtId="44" fontId="17" fillId="6" borderId="79" xfId="0" applyNumberFormat="1" applyFont="1" applyFill="1" applyBorder="1" applyAlignment="1">
      <alignment horizontal="center" vertical="center" wrapText="1"/>
    </xf>
    <xf numFmtId="165" fontId="17" fillId="6" borderId="90" xfId="0" applyNumberFormat="1" applyFont="1" applyFill="1" applyBorder="1" applyAlignment="1">
      <alignment horizontal="left" vertical="center" wrapText="1"/>
    </xf>
    <xf numFmtId="44" fontId="17" fillId="33" borderId="80" xfId="0" applyNumberFormat="1" applyFont="1" applyFill="1" applyBorder="1" applyAlignment="1">
      <alignment horizontal="center" vertical="center" wrapText="1"/>
    </xf>
    <xf numFmtId="44" fontId="17" fillId="6" borderId="80" xfId="0" applyNumberFormat="1" applyFont="1" applyFill="1" applyBorder="1" applyAlignment="1">
      <alignment horizontal="center" vertical="center" wrapText="1"/>
    </xf>
    <xf numFmtId="44" fontId="17" fillId="33" borderId="81" xfId="0" applyNumberFormat="1" applyFont="1" applyFill="1" applyBorder="1" applyAlignment="1">
      <alignment horizontal="center" vertical="center" wrapText="1"/>
    </xf>
    <xf numFmtId="44" fontId="17" fillId="6" borderId="81" xfId="0" applyNumberFormat="1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left" vertical="center"/>
    </xf>
    <xf numFmtId="44" fontId="17" fillId="34" borderId="79" xfId="0" applyNumberFormat="1" applyFont="1" applyFill="1" applyBorder="1" applyAlignment="1" applyProtection="1">
      <alignment horizontal="center" vertical="center" wrapText="1"/>
      <protection locked="0"/>
    </xf>
    <xf numFmtId="44" fontId="17" fillId="34" borderId="80" xfId="0" applyNumberFormat="1" applyFont="1" applyFill="1" applyBorder="1" applyAlignment="1" applyProtection="1">
      <alignment horizontal="center" vertical="center" wrapText="1"/>
      <protection locked="0"/>
    </xf>
    <xf numFmtId="44" fontId="17" fillId="34" borderId="81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74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97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36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55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39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57" xfId="0" applyNumberFormat="1" applyFont="1" applyFill="1" applyBorder="1" applyAlignment="1" applyProtection="1">
      <alignment horizontal="center" vertical="center" wrapText="1"/>
      <protection locked="0"/>
    </xf>
    <xf numFmtId="0" fontId="22" fillId="21" borderId="23" xfId="0" applyFont="1" applyFill="1" applyBorder="1" applyAlignment="1">
      <alignment horizontal="left" vertical="center"/>
    </xf>
    <xf numFmtId="0" fontId="22" fillId="21" borderId="0" xfId="0" applyFont="1" applyFill="1" applyAlignment="1">
      <alignment horizontal="left" vertical="center"/>
    </xf>
    <xf numFmtId="1" fontId="22" fillId="21" borderId="23" xfId="0" applyNumberFormat="1" applyFont="1" applyFill="1" applyBorder="1" applyAlignment="1">
      <alignment horizontal="left" vertical="center"/>
    </xf>
    <xf numFmtId="1" fontId="22" fillId="21" borderId="0" xfId="0" applyNumberFormat="1" applyFont="1" applyFill="1" applyAlignment="1">
      <alignment horizontal="left" vertical="center"/>
    </xf>
    <xf numFmtId="166" fontId="17" fillId="30" borderId="0" xfId="0" applyNumberFormat="1" applyFont="1" applyFill="1" applyAlignment="1">
      <alignment vertical="center"/>
    </xf>
    <xf numFmtId="166" fontId="12" fillId="2" borderId="0" xfId="0" applyNumberFormat="1" applyFont="1" applyFill="1" applyAlignment="1">
      <alignment vertical="center"/>
    </xf>
    <xf numFmtId="44" fontId="12" fillId="12" borderId="38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74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36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39" xfId="0" applyNumberFormat="1" applyFont="1" applyFill="1" applyBorder="1" applyAlignment="1" applyProtection="1">
      <alignment horizontal="left" vertical="center" wrapText="1"/>
      <protection locked="0"/>
    </xf>
    <xf numFmtId="44" fontId="17" fillId="35" borderId="75" xfId="0" applyNumberFormat="1" applyFont="1" applyFill="1" applyBorder="1" applyAlignment="1">
      <alignment horizontal="center" vertical="center" wrapText="1"/>
    </xf>
    <xf numFmtId="44" fontId="17" fillId="35" borderId="37" xfId="0" applyNumberFormat="1" applyFont="1" applyFill="1" applyBorder="1" applyAlignment="1">
      <alignment horizontal="center" vertical="center" wrapText="1"/>
    </xf>
    <xf numFmtId="44" fontId="12" fillId="21" borderId="98" xfId="0" applyNumberFormat="1" applyFont="1" applyFill="1" applyBorder="1" applyAlignment="1" applyProtection="1">
      <alignment horizontal="center" vertical="center" wrapText="1"/>
      <protection locked="0"/>
    </xf>
    <xf numFmtId="44" fontId="12" fillId="21" borderId="38" xfId="0" applyNumberFormat="1" applyFont="1" applyFill="1" applyBorder="1" applyAlignment="1" applyProtection="1">
      <alignment horizontal="center" vertical="center" wrapText="1"/>
      <protection locked="0"/>
    </xf>
    <xf numFmtId="170" fontId="17" fillId="21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21" borderId="40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75" xfId="0" applyNumberFormat="1" applyFont="1" applyFill="1" applyBorder="1" applyAlignment="1">
      <alignment horizontal="center" vertical="center" wrapText="1"/>
    </xf>
    <xf numFmtId="170" fontId="17" fillId="35" borderId="37" xfId="0" applyNumberFormat="1" applyFont="1" applyFill="1" applyBorder="1" applyAlignment="1">
      <alignment horizontal="center" vertical="center" wrapText="1"/>
    </xf>
    <xf numFmtId="1" fontId="17" fillId="21" borderId="109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121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22" xfId="0" applyFont="1" applyFill="1" applyBorder="1" applyAlignment="1" applyProtection="1">
      <alignment horizontal="left" vertical="center" wrapText="1"/>
      <protection locked="0"/>
    </xf>
    <xf numFmtId="170" fontId="17" fillId="21" borderId="122" xfId="0" applyNumberFormat="1" applyFont="1" applyFill="1" applyBorder="1" applyAlignment="1" applyProtection="1">
      <alignment horizontal="center" vertical="center" wrapText="1"/>
      <protection locked="0"/>
    </xf>
    <xf numFmtId="44" fontId="12" fillId="12" borderId="12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31" xfId="0" applyNumberFormat="1" applyFont="1" applyFill="1" applyBorder="1" applyAlignment="1" applyProtection="1">
      <alignment horizontal="left" vertical="center" wrapText="1"/>
      <protection locked="0"/>
    </xf>
    <xf numFmtId="44" fontId="17" fillId="35" borderId="132" xfId="0" applyNumberFormat="1" applyFont="1" applyFill="1" applyBorder="1" applyAlignment="1">
      <alignment horizontal="center" vertical="center" wrapText="1"/>
    </xf>
    <xf numFmtId="170" fontId="17" fillId="35" borderId="132" xfId="0" applyNumberFormat="1" applyFont="1" applyFill="1" applyBorder="1" applyAlignment="1">
      <alignment horizontal="center" vertical="center" wrapText="1"/>
    </xf>
    <xf numFmtId="44" fontId="12" fillId="21" borderId="13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42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43" xfId="0" applyFont="1" applyFill="1" applyBorder="1" applyAlignment="1" applyProtection="1">
      <alignment horizontal="left" vertical="center" wrapText="1"/>
      <protection locked="0"/>
    </xf>
    <xf numFmtId="170" fontId="17" fillId="21" borderId="43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37" xfId="0" applyFont="1" applyFill="1" applyBorder="1" applyAlignment="1">
      <alignment horizontal="center" vertical="center" wrapText="1"/>
    </xf>
    <xf numFmtId="0" fontId="12" fillId="10" borderId="141" xfId="0" applyFont="1" applyFill="1" applyBorder="1" applyAlignment="1">
      <alignment horizontal="center" vertical="center" wrapText="1"/>
    </xf>
    <xf numFmtId="0" fontId="30" fillId="37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6" fontId="17" fillId="2" borderId="79" xfId="0" applyNumberFormat="1" applyFont="1" applyFill="1" applyBorder="1" applyAlignment="1">
      <alignment vertical="center"/>
    </xf>
    <xf numFmtId="166" fontId="17" fillId="2" borderId="80" xfId="0" applyNumberFormat="1" applyFont="1" applyFill="1" applyBorder="1" applyAlignment="1">
      <alignment vertical="center"/>
    </xf>
    <xf numFmtId="166" fontId="17" fillId="2" borderId="81" xfId="0" applyNumberFormat="1" applyFont="1" applyFill="1" applyBorder="1" applyAlignment="1">
      <alignment vertical="center"/>
    </xf>
    <xf numFmtId="0" fontId="17" fillId="6" borderId="88" xfId="0" applyFont="1" applyFill="1" applyBorder="1"/>
    <xf numFmtId="1" fontId="17" fillId="12" borderId="121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36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39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74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131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122" xfId="0" applyFont="1" applyFill="1" applyBorder="1" applyAlignment="1" applyProtection="1">
      <alignment horizontal="left" vertical="center" wrapText="1"/>
      <protection locked="0"/>
    </xf>
    <xf numFmtId="0" fontId="17" fillId="12" borderId="37" xfId="0" applyFont="1" applyFill="1" applyBorder="1" applyAlignment="1" applyProtection="1">
      <alignment horizontal="left" vertical="center" wrapText="1"/>
      <protection locked="0"/>
    </xf>
    <xf numFmtId="0" fontId="17" fillId="12" borderId="40" xfId="0" applyFont="1" applyFill="1" applyBorder="1" applyAlignment="1" applyProtection="1">
      <alignment horizontal="left" vertical="center" wrapText="1"/>
      <protection locked="0"/>
    </xf>
    <xf numFmtId="170" fontId="17" fillId="39" borderId="122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40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98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38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13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6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12" fillId="10" borderId="136" xfId="0" applyFont="1" applyFill="1" applyBorder="1" applyAlignment="1">
      <alignment horizontal="center" vertical="center" wrapText="1"/>
    </xf>
    <xf numFmtId="0" fontId="12" fillId="10" borderId="138" xfId="0" applyFont="1" applyFill="1" applyBorder="1" applyAlignment="1">
      <alignment horizontal="left" vertical="center" wrapText="1"/>
    </xf>
    <xf numFmtId="0" fontId="12" fillId="10" borderId="139" xfId="0" applyFont="1" applyFill="1" applyBorder="1" applyAlignment="1">
      <alignment horizontal="center" vertical="center" wrapText="1"/>
    </xf>
    <xf numFmtId="0" fontId="12" fillId="10" borderId="140" xfId="0" applyFont="1" applyFill="1" applyBorder="1" applyAlignment="1">
      <alignment horizontal="center" vertical="center" wrapText="1"/>
    </xf>
    <xf numFmtId="44" fontId="17" fillId="6" borderId="122" xfId="0" applyNumberFormat="1" applyFont="1" applyFill="1" applyBorder="1" applyAlignment="1">
      <alignment vertical="center" wrapText="1"/>
    </xf>
    <xf numFmtId="44" fontId="17" fillId="12" borderId="122" xfId="0" applyNumberFormat="1" applyFont="1" applyFill="1" applyBorder="1" applyAlignment="1">
      <alignment horizontal="center" vertical="center" wrapText="1"/>
    </xf>
    <xf numFmtId="44" fontId="12" fillId="12" borderId="123" xfId="0" applyNumberFormat="1" applyFont="1" applyFill="1" applyBorder="1" applyAlignment="1">
      <alignment horizontal="center" vertical="center" wrapText="1"/>
    </xf>
    <xf numFmtId="1" fontId="17" fillId="12" borderId="121" xfId="0" applyNumberFormat="1" applyFont="1" applyFill="1" applyBorder="1" applyAlignment="1">
      <alignment horizontal="left" vertical="center" wrapText="1"/>
    </xf>
    <xf numFmtId="0" fontId="17" fillId="12" borderId="122" xfId="0" applyFont="1" applyFill="1" applyBorder="1" applyAlignment="1">
      <alignment horizontal="left" vertical="center" wrapText="1"/>
    </xf>
    <xf numFmtId="44" fontId="17" fillId="6" borderId="37" xfId="0" applyNumberFormat="1" applyFont="1" applyFill="1" applyBorder="1" applyAlignment="1">
      <alignment vertical="center" wrapText="1"/>
    </xf>
    <xf numFmtId="44" fontId="17" fillId="12" borderId="37" xfId="0" applyNumberFormat="1" applyFont="1" applyFill="1" applyBorder="1" applyAlignment="1">
      <alignment horizontal="center" vertical="center" wrapText="1"/>
    </xf>
    <xf numFmtId="44" fontId="12" fillId="12" borderId="38" xfId="0" applyNumberFormat="1" applyFont="1" applyFill="1" applyBorder="1" applyAlignment="1">
      <alignment horizontal="center" vertical="center" wrapText="1"/>
    </xf>
    <xf numFmtId="1" fontId="17" fillId="12" borderId="36" xfId="0" applyNumberFormat="1" applyFont="1" applyFill="1" applyBorder="1" applyAlignment="1">
      <alignment horizontal="left" vertical="center" wrapText="1"/>
    </xf>
    <xf numFmtId="0" fontId="17" fillId="12" borderId="37" xfId="0" applyFont="1" applyFill="1" applyBorder="1" applyAlignment="1">
      <alignment horizontal="left" vertical="center" wrapText="1"/>
    </xf>
    <xf numFmtId="44" fontId="17" fillId="6" borderId="40" xfId="0" applyNumberFormat="1" applyFont="1" applyFill="1" applyBorder="1" applyAlignment="1">
      <alignment vertical="center" wrapText="1"/>
    </xf>
    <xf numFmtId="44" fontId="17" fillId="12" borderId="40" xfId="0" applyNumberFormat="1" applyFont="1" applyFill="1" applyBorder="1" applyAlignment="1">
      <alignment horizontal="center" vertical="center" wrapText="1"/>
    </xf>
    <xf numFmtId="44" fontId="12" fillId="12" borderId="41" xfId="0" applyNumberFormat="1" applyFont="1" applyFill="1" applyBorder="1" applyAlignment="1">
      <alignment horizontal="center" vertical="center" wrapText="1"/>
    </xf>
    <xf numFmtId="1" fontId="17" fillId="12" borderId="39" xfId="0" applyNumberFormat="1" applyFont="1" applyFill="1" applyBorder="1" applyAlignment="1">
      <alignment horizontal="left" vertical="center" wrapText="1"/>
    </xf>
    <xf numFmtId="0" fontId="17" fillId="12" borderId="40" xfId="0" applyFont="1" applyFill="1" applyBorder="1" applyAlignment="1">
      <alignment horizontal="left" vertical="center" wrapText="1"/>
    </xf>
    <xf numFmtId="1" fontId="17" fillId="12" borderId="74" xfId="0" applyNumberFormat="1" applyFont="1" applyFill="1" applyBorder="1" applyAlignment="1">
      <alignment horizontal="left" vertical="center" wrapText="1"/>
    </xf>
    <xf numFmtId="1" fontId="17" fillId="12" borderId="131" xfId="0" applyNumberFormat="1" applyFont="1" applyFill="1" applyBorder="1" applyAlignment="1">
      <alignment horizontal="left" vertical="center" wrapText="1"/>
    </xf>
    <xf numFmtId="0" fontId="12" fillId="12" borderId="136" xfId="0" applyFont="1" applyFill="1" applyBorder="1" applyAlignment="1">
      <alignment horizontal="left" vertical="center"/>
    </xf>
    <xf numFmtId="1" fontId="12" fillId="12" borderId="137" xfId="0" applyNumberFormat="1" applyFont="1" applyFill="1" applyBorder="1" applyAlignment="1">
      <alignment horizontal="center" vertical="center" wrapText="1"/>
    </xf>
    <xf numFmtId="44" fontId="12" fillId="12" borderId="137" xfId="0" applyNumberFormat="1" applyFont="1" applyFill="1" applyBorder="1" applyAlignment="1">
      <alignment horizontal="left" vertical="center" wrapText="1"/>
    </xf>
    <xf numFmtId="170" fontId="12" fillId="12" borderId="137" xfId="0" applyNumberFormat="1" applyFont="1" applyFill="1" applyBorder="1" applyAlignment="1">
      <alignment horizontal="left" vertical="center" wrapText="1"/>
    </xf>
    <xf numFmtId="44" fontId="12" fillId="12" borderId="138" xfId="0" applyNumberFormat="1" applyFont="1" applyFill="1" applyBorder="1" applyAlignment="1">
      <alignment horizontal="left" vertical="center" wrapText="1"/>
    </xf>
    <xf numFmtId="44" fontId="12" fillId="12" borderId="139" xfId="0" applyNumberFormat="1" applyFont="1" applyFill="1" applyBorder="1" applyAlignment="1">
      <alignment horizontal="center" vertical="center" wrapText="1"/>
    </xf>
    <xf numFmtId="44" fontId="12" fillId="12" borderId="140" xfId="0" applyNumberFormat="1" applyFont="1" applyFill="1" applyBorder="1" applyAlignment="1">
      <alignment horizontal="center" vertical="center" wrapText="1"/>
    </xf>
    <xf numFmtId="44" fontId="12" fillId="12" borderId="137" xfId="0" applyNumberFormat="1" applyFont="1" applyFill="1" applyBorder="1" applyAlignment="1">
      <alignment horizontal="center" vertical="center" wrapText="1"/>
    </xf>
    <xf numFmtId="44" fontId="12" fillId="12" borderId="141" xfId="0" applyNumberFormat="1" applyFont="1" applyFill="1" applyBorder="1" applyAlignment="1">
      <alignment horizontal="center" vertical="center" wrapText="1"/>
    </xf>
    <xf numFmtId="0" fontId="12" fillId="38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44" fontId="17" fillId="2" borderId="0" xfId="0" applyNumberFormat="1" applyFont="1" applyFill="1"/>
    <xf numFmtId="0" fontId="12" fillId="2" borderId="0" xfId="0" applyFont="1" applyFill="1" applyAlignment="1">
      <alignment horizontal="left"/>
    </xf>
    <xf numFmtId="44" fontId="12" fillId="2" borderId="0" xfId="0" applyNumberFormat="1" applyFont="1" applyFill="1"/>
    <xf numFmtId="0" fontId="12" fillId="8" borderId="4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170" fontId="17" fillId="40" borderId="75" xfId="0" applyNumberFormat="1" applyFont="1" applyFill="1" applyBorder="1" applyAlignment="1" applyProtection="1">
      <alignment horizontal="center" vertical="center" wrapText="1"/>
      <protection locked="0"/>
    </xf>
    <xf numFmtId="170" fontId="17" fillId="40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40" borderId="132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75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13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0" xfId="0" applyNumberFormat="1" applyFont="1" applyFill="1" applyAlignment="1">
      <alignment horizontal="left"/>
    </xf>
    <xf numFmtId="44" fontId="22" fillId="2" borderId="0" xfId="0" applyNumberFormat="1" applyFont="1" applyFill="1" applyAlignment="1">
      <alignment horizontal="center"/>
    </xf>
    <xf numFmtId="44" fontId="38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44" fontId="38" fillId="2" borderId="0" xfId="0" applyNumberFormat="1" applyFont="1" applyFill="1"/>
    <xf numFmtId="166" fontId="38" fillId="2" borderId="0" xfId="0" applyNumberFormat="1" applyFont="1" applyFill="1" applyAlignment="1">
      <alignment vertical="center"/>
    </xf>
    <xf numFmtId="170" fontId="17" fillId="35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132" xfId="0" applyNumberFormat="1" applyFont="1" applyFill="1" applyBorder="1" applyAlignment="1" applyProtection="1">
      <alignment horizontal="center" vertical="center" wrapText="1"/>
      <protection locked="0"/>
    </xf>
    <xf numFmtId="44" fontId="12" fillId="12" borderId="13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5" fillId="6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4" fontId="17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4" fontId="12" fillId="2" borderId="0" xfId="0" applyNumberFormat="1" applyFont="1" applyFill="1" applyAlignment="1">
      <alignment horizontal="left" vertical="center"/>
    </xf>
    <xf numFmtId="44" fontId="12" fillId="2" borderId="0" xfId="0" applyNumberFormat="1" applyFont="1" applyFill="1" applyAlignment="1">
      <alignment vertical="center"/>
    </xf>
    <xf numFmtId="44" fontId="38" fillId="2" borderId="0" xfId="0" applyNumberFormat="1" applyFont="1" applyFill="1" applyAlignment="1">
      <alignment horizontal="center" vertical="center"/>
    </xf>
    <xf numFmtId="44" fontId="22" fillId="2" borderId="0" xfId="0" applyNumberFormat="1" applyFont="1" applyFill="1" applyAlignment="1">
      <alignment horizontal="center" vertical="center"/>
    </xf>
    <xf numFmtId="44" fontId="17" fillId="6" borderId="43" xfId="0" applyNumberFormat="1" applyFont="1" applyFill="1" applyBorder="1" applyAlignment="1">
      <alignment vertical="center" wrapText="1"/>
    </xf>
    <xf numFmtId="44" fontId="17" fillId="12" borderId="43" xfId="0" applyNumberFormat="1" applyFont="1" applyFill="1" applyBorder="1" applyAlignment="1">
      <alignment horizontal="center" vertical="center" wrapText="1"/>
    </xf>
    <xf numFmtId="44" fontId="12" fillId="12" borderId="44" xfId="0" applyNumberFormat="1" applyFont="1" applyFill="1" applyBorder="1" applyAlignment="1">
      <alignment horizontal="center" vertical="center" wrapText="1"/>
    </xf>
    <xf numFmtId="0" fontId="17" fillId="21" borderId="110" xfId="0" applyFont="1" applyFill="1" applyBorder="1" applyAlignment="1" applyProtection="1">
      <alignment horizontal="left" vertical="center" wrapText="1"/>
      <protection locked="0"/>
    </xf>
    <xf numFmtId="170" fontId="17" fillId="21" borderId="110" xfId="0" applyNumberFormat="1" applyFont="1" applyFill="1" applyBorder="1" applyAlignment="1" applyProtection="1">
      <alignment horizontal="center" vertical="center" wrapText="1"/>
      <protection locked="0"/>
    </xf>
    <xf numFmtId="44" fontId="17" fillId="6" borderId="110" xfId="0" applyNumberFormat="1" applyFont="1" applyFill="1" applyBorder="1" applyAlignment="1">
      <alignment vertical="center" wrapText="1"/>
    </xf>
    <xf numFmtId="44" fontId="17" fillId="12" borderId="110" xfId="0" applyNumberFormat="1" applyFont="1" applyFill="1" applyBorder="1" applyAlignment="1">
      <alignment horizontal="center" vertical="center" wrapText="1"/>
    </xf>
    <xf numFmtId="44" fontId="12" fillId="12" borderId="111" xfId="0" applyNumberFormat="1" applyFont="1" applyFill="1" applyBorder="1" applyAlignment="1">
      <alignment horizontal="center" vertical="center" wrapText="1"/>
    </xf>
    <xf numFmtId="44" fontId="17" fillId="35" borderId="122" xfId="0" applyNumberFormat="1" applyFont="1" applyFill="1" applyBorder="1" applyAlignment="1">
      <alignment horizontal="center" vertical="center" wrapText="1"/>
    </xf>
    <xf numFmtId="170" fontId="17" fillId="35" borderId="122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122" xfId="0" applyNumberFormat="1" applyFont="1" applyFill="1" applyBorder="1" applyAlignment="1">
      <alignment horizontal="center" vertical="center" wrapText="1"/>
    </xf>
    <xf numFmtId="44" fontId="17" fillId="2" borderId="0" xfId="0" applyNumberFormat="1" applyFont="1" applyFill="1" applyAlignment="1">
      <alignment horizontal="left" vertical="center"/>
    </xf>
    <xf numFmtId="170" fontId="17" fillId="39" borderId="110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43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09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110" xfId="0" applyFont="1" applyFill="1" applyBorder="1" applyAlignment="1" applyProtection="1">
      <alignment horizontal="left" vertical="center" wrapText="1"/>
      <protection locked="0"/>
    </xf>
    <xf numFmtId="1" fontId="17" fillId="12" borderId="42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43" xfId="0" applyFont="1" applyFill="1" applyBorder="1" applyAlignment="1" applyProtection="1">
      <alignment horizontal="left" vertical="center" wrapText="1"/>
      <protection locked="0"/>
    </xf>
    <xf numFmtId="0" fontId="12" fillId="4" borderId="144" xfId="0" applyFont="1" applyFill="1" applyBorder="1" applyAlignment="1">
      <alignment horizontal="center" vertical="center" wrapText="1"/>
    </xf>
    <xf numFmtId="0" fontId="12" fillId="4" borderId="145" xfId="0" applyFont="1" applyFill="1" applyBorder="1" applyAlignment="1">
      <alignment horizontal="center" vertical="center" wrapText="1"/>
    </xf>
    <xf numFmtId="166" fontId="12" fillId="11" borderId="146" xfId="0" applyNumberFormat="1" applyFont="1" applyFill="1" applyBorder="1" applyAlignment="1">
      <alignment vertical="center"/>
    </xf>
    <xf numFmtId="166" fontId="12" fillId="11" borderId="147" xfId="0" applyNumberFormat="1" applyFont="1" applyFill="1" applyBorder="1" applyAlignment="1">
      <alignment vertical="center"/>
    </xf>
    <xf numFmtId="166" fontId="32" fillId="2" borderId="144" xfId="0" applyNumberFormat="1" applyFont="1" applyFill="1" applyBorder="1" applyAlignment="1">
      <alignment vertical="center"/>
    </xf>
    <xf numFmtId="166" fontId="32" fillId="2" borderId="145" xfId="0" applyNumberFormat="1" applyFont="1" applyFill="1" applyBorder="1" applyAlignment="1">
      <alignment vertical="center"/>
    </xf>
    <xf numFmtId="166" fontId="12" fillId="28" borderId="154" xfId="0" applyNumberFormat="1" applyFont="1" applyFill="1" applyBorder="1" applyAlignment="1">
      <alignment vertical="center"/>
    </xf>
    <xf numFmtId="166" fontId="12" fillId="28" borderId="132" xfId="0" applyNumberFormat="1" applyFont="1" applyFill="1" applyBorder="1" applyAlignment="1">
      <alignment vertical="center"/>
    </xf>
    <xf numFmtId="166" fontId="12" fillId="28" borderId="155" xfId="0" applyNumberFormat="1" applyFont="1" applyFill="1" applyBorder="1" applyAlignment="1">
      <alignment vertical="center"/>
    </xf>
    <xf numFmtId="166" fontId="12" fillId="28" borderId="156" xfId="0" applyNumberFormat="1" applyFont="1" applyFill="1" applyBorder="1" applyAlignment="1">
      <alignment vertical="center"/>
    </xf>
    <xf numFmtId="0" fontId="12" fillId="4" borderId="157" xfId="0" applyFont="1" applyFill="1" applyBorder="1" applyAlignment="1">
      <alignment vertical="center"/>
    </xf>
    <xf numFmtId="0" fontId="12" fillId="18" borderId="158" xfId="0" applyFont="1" applyFill="1" applyBorder="1" applyAlignment="1">
      <alignment vertical="center" wrapText="1"/>
    </xf>
    <xf numFmtId="0" fontId="17" fillId="16" borderId="159" xfId="0" applyFont="1" applyFill="1" applyBorder="1" applyAlignment="1">
      <alignment vertical="center" wrapText="1"/>
    </xf>
    <xf numFmtId="0" fontId="17" fillId="16" borderId="160" xfId="0" applyFont="1" applyFill="1" applyBorder="1" applyAlignment="1">
      <alignment vertical="center" wrapText="1"/>
    </xf>
    <xf numFmtId="0" fontId="12" fillId="16" borderId="157" xfId="0" applyFont="1" applyFill="1" applyBorder="1" applyAlignment="1">
      <alignment vertical="center" wrapText="1"/>
    </xf>
    <xf numFmtId="0" fontId="32" fillId="16" borderId="157" xfId="0" applyFont="1" applyFill="1" applyBorder="1" applyAlignment="1">
      <alignment vertical="center" wrapText="1"/>
    </xf>
    <xf numFmtId="0" fontId="12" fillId="27" borderId="161" xfId="0" applyFont="1" applyFill="1" applyBorder="1" applyAlignment="1">
      <alignment vertical="center" wrapText="1"/>
    </xf>
    <xf numFmtId="166" fontId="17" fillId="41" borderId="148" xfId="0" applyNumberFormat="1" applyFont="1" applyFill="1" applyBorder="1" applyAlignment="1">
      <alignment vertical="center"/>
    </xf>
    <xf numFmtId="166" fontId="17" fillId="41" borderId="37" xfId="0" applyNumberFormat="1" applyFont="1" applyFill="1" applyBorder="1" applyAlignment="1">
      <alignment vertical="center"/>
    </xf>
    <xf numFmtId="166" fontId="17" fillId="41" borderId="38" xfId="0" applyNumberFormat="1" applyFont="1" applyFill="1" applyBorder="1" applyAlignment="1">
      <alignment vertical="center"/>
    </xf>
    <xf numFmtId="166" fontId="17" fillId="41" borderId="149" xfId="0" applyNumberFormat="1" applyFont="1" applyFill="1" applyBorder="1" applyAlignment="1">
      <alignment vertical="center"/>
    </xf>
    <xf numFmtId="166" fontId="17" fillId="41" borderId="150" xfId="0" applyNumberFormat="1" applyFont="1" applyFill="1" applyBorder="1" applyAlignment="1">
      <alignment vertical="center"/>
    </xf>
    <xf numFmtId="166" fontId="17" fillId="41" borderId="40" xfId="0" applyNumberFormat="1" applyFont="1" applyFill="1" applyBorder="1" applyAlignment="1">
      <alignment vertical="center"/>
    </xf>
    <xf numFmtId="166" fontId="17" fillId="41" borderId="41" xfId="0" applyNumberFormat="1" applyFont="1" applyFill="1" applyBorder="1" applyAlignment="1">
      <alignment vertical="center"/>
    </xf>
    <xf numFmtId="166" fontId="17" fillId="41" borderId="151" xfId="0" applyNumberFormat="1" applyFont="1" applyFill="1" applyBorder="1" applyAlignment="1">
      <alignment vertical="center"/>
    </xf>
    <xf numFmtId="166" fontId="12" fillId="41" borderId="144" xfId="0" applyNumberFormat="1" applyFont="1" applyFill="1" applyBorder="1" applyAlignment="1">
      <alignment vertical="center"/>
    </xf>
    <xf numFmtId="166" fontId="12" fillId="41" borderId="46" xfId="0" applyNumberFormat="1" applyFont="1" applyFill="1" applyBorder="1" applyAlignment="1">
      <alignment vertical="center"/>
    </xf>
    <xf numFmtId="166" fontId="12" fillId="41" borderId="47" xfId="0" applyNumberFormat="1" applyFont="1" applyFill="1" applyBorder="1" applyAlignment="1">
      <alignment vertical="center"/>
    </xf>
    <xf numFmtId="166" fontId="12" fillId="41" borderId="145" xfId="0" applyNumberFormat="1" applyFont="1" applyFill="1" applyBorder="1" applyAlignment="1">
      <alignment vertical="center"/>
    </xf>
    <xf numFmtId="166" fontId="17" fillId="41" borderId="152" xfId="0" applyNumberFormat="1" applyFont="1" applyFill="1" applyBorder="1" applyAlignment="1">
      <alignment vertical="center"/>
    </xf>
    <xf numFmtId="166" fontId="17" fillId="41" borderId="110" xfId="0" applyNumberFormat="1" applyFont="1" applyFill="1" applyBorder="1" applyAlignment="1">
      <alignment vertical="center"/>
    </xf>
    <xf numFmtId="166" fontId="17" fillId="41" borderId="111" xfId="0" applyNumberFormat="1" applyFont="1" applyFill="1" applyBorder="1" applyAlignment="1">
      <alignment vertical="center"/>
    </xf>
    <xf numFmtId="166" fontId="17" fillId="41" borderId="153" xfId="0" applyNumberFormat="1" applyFont="1" applyFill="1" applyBorder="1" applyAlignment="1">
      <alignment vertical="center"/>
    </xf>
    <xf numFmtId="1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68" xfId="0" applyFont="1" applyFill="1" applyBorder="1" applyAlignment="1">
      <alignment vertical="center" wrapText="1"/>
    </xf>
    <xf numFmtId="166" fontId="12" fillId="28" borderId="40" xfId="0" applyNumberFormat="1" applyFont="1" applyFill="1" applyBorder="1" applyAlignment="1">
      <alignment vertical="center"/>
    </xf>
    <xf numFmtId="166" fontId="12" fillId="28" borderId="78" xfId="0" applyNumberFormat="1" applyFont="1" applyFill="1" applyBorder="1" applyAlignment="1">
      <alignment vertical="center"/>
    </xf>
    <xf numFmtId="0" fontId="12" fillId="4" borderId="73" xfId="0" applyFont="1" applyFill="1" applyBorder="1" applyAlignment="1">
      <alignment vertical="center"/>
    </xf>
    <xf numFmtId="0" fontId="12" fillId="18" borderId="79" xfId="0" applyFont="1" applyFill="1" applyBorder="1" applyAlignment="1">
      <alignment vertical="center" wrapText="1"/>
    </xf>
    <xf numFmtId="0" fontId="17" fillId="16" borderId="80" xfId="0" applyFont="1" applyFill="1" applyBorder="1" applyAlignment="1">
      <alignment vertical="center" wrapText="1"/>
    </xf>
    <xf numFmtId="0" fontId="17" fillId="16" borderId="81" xfId="0" applyFont="1" applyFill="1" applyBorder="1" applyAlignment="1">
      <alignment vertical="center" wrapText="1"/>
    </xf>
    <xf numFmtId="0" fontId="12" fillId="16" borderId="73" xfId="0" applyFont="1" applyFill="1" applyBorder="1" applyAlignment="1">
      <alignment vertical="center" wrapText="1"/>
    </xf>
    <xf numFmtId="0" fontId="32" fillId="16" borderId="73" xfId="0" applyFont="1" applyFill="1" applyBorder="1" applyAlignment="1">
      <alignment vertical="center" wrapText="1"/>
    </xf>
    <xf numFmtId="0" fontId="12" fillId="27" borderId="81" xfId="0" applyFont="1" applyFill="1" applyBorder="1" applyAlignment="1">
      <alignment vertical="center" wrapText="1"/>
    </xf>
    <xf numFmtId="166" fontId="12" fillId="11" borderId="79" xfId="0" applyNumberFormat="1" applyFont="1" applyFill="1" applyBorder="1" applyAlignment="1">
      <alignment vertical="center"/>
    </xf>
    <xf numFmtId="166" fontId="32" fillId="2" borderId="73" xfId="0" applyNumberFormat="1" applyFont="1" applyFill="1" applyBorder="1" applyAlignment="1">
      <alignment vertical="center"/>
    </xf>
    <xf numFmtId="166" fontId="17" fillId="2" borderId="170" xfId="0" applyNumberFormat="1" applyFont="1" applyFill="1" applyBorder="1" applyAlignment="1">
      <alignment vertical="center"/>
    </xf>
    <xf numFmtId="166" fontId="12" fillId="28" borderId="81" xfId="0" applyNumberFormat="1" applyFont="1" applyFill="1" applyBorder="1" applyAlignment="1">
      <alignment vertical="center"/>
    </xf>
    <xf numFmtId="166" fontId="12" fillId="11" borderId="74" xfId="0" applyNumberFormat="1" applyFont="1" applyFill="1" applyBorder="1" applyAlignment="1">
      <alignment vertical="center"/>
    </xf>
    <xf numFmtId="166" fontId="12" fillId="11" borderId="75" xfId="0" applyNumberFormat="1" applyFont="1" applyFill="1" applyBorder="1" applyAlignment="1">
      <alignment vertical="center"/>
    </xf>
    <xf numFmtId="166" fontId="32" fillId="2" borderId="87" xfId="0" applyNumberFormat="1" applyFont="1" applyFill="1" applyBorder="1" applyAlignment="1">
      <alignment vertical="center"/>
    </xf>
    <xf numFmtId="166" fontId="17" fillId="2" borderId="109" xfId="0" applyNumberFormat="1" applyFont="1" applyFill="1" applyBorder="1" applyAlignment="1">
      <alignment vertical="center"/>
    </xf>
    <xf numFmtId="166" fontId="12" fillId="28" borderId="39" xfId="0" applyNumberFormat="1" applyFont="1" applyFill="1" applyBorder="1" applyAlignment="1">
      <alignment vertical="center"/>
    </xf>
    <xf numFmtId="166" fontId="12" fillId="11" borderId="88" xfId="0" applyNumberFormat="1" applyFont="1" applyFill="1" applyBorder="1" applyAlignment="1">
      <alignment vertical="center"/>
    </xf>
    <xf numFmtId="166" fontId="17" fillId="2" borderId="77" xfId="0" applyNumberFormat="1" applyFont="1" applyFill="1" applyBorder="1" applyAlignment="1">
      <alignment vertical="center"/>
    </xf>
    <xf numFmtId="166" fontId="17" fillId="2" borderId="78" xfId="0" applyNumberFormat="1" applyFont="1" applyFill="1" applyBorder="1" applyAlignment="1">
      <alignment vertical="center"/>
    </xf>
    <xf numFmtId="166" fontId="17" fillId="2" borderId="103" xfId="0" applyNumberFormat="1" applyFont="1" applyFill="1" applyBorder="1" applyAlignment="1">
      <alignment vertical="center"/>
    </xf>
    <xf numFmtId="0" fontId="12" fillId="16" borderId="0" xfId="0" applyFont="1" applyFill="1" applyAlignment="1">
      <alignment vertical="center" wrapText="1"/>
    </xf>
    <xf numFmtId="9" fontId="8" fillId="28" borderId="73" xfId="0" applyNumberFormat="1" applyFont="1" applyFill="1" applyBorder="1" applyAlignment="1">
      <alignment horizontal="center" vertical="center"/>
    </xf>
    <xf numFmtId="0" fontId="8" fillId="28" borderId="7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39" fillId="28" borderId="73" xfId="0" applyNumberFormat="1" applyFont="1" applyFill="1" applyBorder="1" applyAlignment="1">
      <alignment vertical="center"/>
    </xf>
    <xf numFmtId="0" fontId="12" fillId="18" borderId="73" xfId="0" applyFont="1" applyFill="1" applyBorder="1" applyAlignment="1">
      <alignment vertical="center" wrapText="1"/>
    </xf>
    <xf numFmtId="0" fontId="12" fillId="4" borderId="171" xfId="0" applyFont="1" applyFill="1" applyBorder="1" applyAlignment="1">
      <alignment horizontal="center" vertical="center" wrapText="1"/>
    </xf>
    <xf numFmtId="166" fontId="12" fillId="11" borderId="158" xfId="0" applyNumberFormat="1" applyFont="1" applyFill="1" applyBorder="1" applyAlignment="1">
      <alignment vertical="center"/>
    </xf>
    <xf numFmtId="166" fontId="17" fillId="41" borderId="159" xfId="0" applyNumberFormat="1" applyFont="1" applyFill="1" applyBorder="1" applyAlignment="1">
      <alignment vertical="center"/>
    </xf>
    <xf numFmtId="166" fontId="17" fillId="41" borderId="160" xfId="0" applyNumberFormat="1" applyFont="1" applyFill="1" applyBorder="1" applyAlignment="1">
      <alignment vertical="center"/>
    </xf>
    <xf numFmtId="166" fontId="12" fillId="41" borderId="157" xfId="0" applyNumberFormat="1" applyFont="1" applyFill="1" applyBorder="1" applyAlignment="1">
      <alignment vertical="center"/>
    </xf>
    <xf numFmtId="166" fontId="32" fillId="2" borderId="157" xfId="0" applyNumberFormat="1" applyFont="1" applyFill="1" applyBorder="1" applyAlignment="1">
      <alignment vertical="center"/>
    </xf>
    <xf numFmtId="166" fontId="17" fillId="41" borderId="172" xfId="0" applyNumberFormat="1" applyFont="1" applyFill="1" applyBorder="1" applyAlignment="1">
      <alignment vertical="center"/>
    </xf>
    <xf numFmtId="166" fontId="12" fillId="28" borderId="161" xfId="0" applyNumberFormat="1" applyFont="1" applyFill="1" applyBorder="1" applyAlignment="1">
      <alignment vertical="center"/>
    </xf>
    <xf numFmtId="0" fontId="15" fillId="19" borderId="77" xfId="0" applyFont="1" applyFill="1" applyBorder="1" applyAlignment="1" applyProtection="1">
      <alignment horizontal="center" vertical="center"/>
      <protection locked="0"/>
    </xf>
    <xf numFmtId="0" fontId="15" fillId="19" borderId="78" xfId="0" applyFont="1" applyFill="1" applyBorder="1" applyAlignment="1" applyProtection="1">
      <alignment horizontal="center" vertical="center"/>
      <protection locked="0"/>
    </xf>
    <xf numFmtId="0" fontId="17" fillId="2" borderId="74" xfId="0" applyFont="1" applyFill="1" applyBorder="1" applyAlignment="1">
      <alignment vertical="center" wrapText="1"/>
    </xf>
    <xf numFmtId="0" fontId="15" fillId="19" borderId="75" xfId="0" applyFont="1" applyFill="1" applyBorder="1" applyAlignment="1" applyProtection="1">
      <alignment horizontal="center" vertical="center"/>
      <protection locked="0"/>
    </xf>
    <xf numFmtId="0" fontId="17" fillId="19" borderId="98" xfId="0" applyFont="1" applyFill="1" applyBorder="1" applyAlignment="1" applyProtection="1">
      <alignment vertical="center"/>
      <protection locked="0"/>
    </xf>
    <xf numFmtId="0" fontId="1" fillId="32" borderId="93" xfId="0" applyFont="1" applyFill="1" applyBorder="1" applyAlignment="1">
      <alignment vertical="center"/>
    </xf>
    <xf numFmtId="1" fontId="1" fillId="32" borderId="93" xfId="0" applyNumberFormat="1" applyFont="1" applyFill="1" applyBorder="1" applyAlignment="1">
      <alignment horizontal="left" vertical="center"/>
    </xf>
    <xf numFmtId="0" fontId="1" fillId="32" borderId="93" xfId="0" applyFont="1" applyFill="1" applyBorder="1" applyAlignment="1">
      <alignment horizontal="left" vertical="center"/>
    </xf>
    <xf numFmtId="0" fontId="17" fillId="2" borderId="51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0" fontId="17" fillId="2" borderId="53" xfId="0" applyFont="1" applyFill="1" applyBorder="1" applyAlignment="1">
      <alignment horizontal="left"/>
    </xf>
    <xf numFmtId="0" fontId="12" fillId="2" borderId="61" xfId="0" applyFont="1" applyFill="1" applyBorder="1" applyAlignment="1">
      <alignment horizontal="right"/>
    </xf>
    <xf numFmtId="0" fontId="17" fillId="2" borderId="114" xfId="0" applyFont="1" applyFill="1" applyBorder="1" applyAlignment="1">
      <alignment horizontal="left"/>
    </xf>
    <xf numFmtId="0" fontId="12" fillId="2" borderId="114" xfId="0" applyFont="1" applyFill="1" applyBorder="1" applyAlignment="1">
      <alignment horizontal="left"/>
    </xf>
    <xf numFmtId="0" fontId="16" fillId="2" borderId="114" xfId="0" applyFont="1" applyFill="1" applyBorder="1" applyAlignment="1">
      <alignment horizontal="center"/>
    </xf>
    <xf numFmtId="0" fontId="16" fillId="2" borderId="62" xfId="0" applyFont="1" applyFill="1" applyBorder="1" applyAlignment="1">
      <alignment horizontal="center"/>
    </xf>
    <xf numFmtId="0" fontId="16" fillId="2" borderId="106" xfId="0" applyFont="1" applyFill="1" applyBorder="1" applyAlignment="1">
      <alignment horizontal="center"/>
    </xf>
    <xf numFmtId="0" fontId="16" fillId="2" borderId="108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6" fillId="2" borderId="61" xfId="0" applyFont="1" applyFill="1" applyBorder="1"/>
    <xf numFmtId="0" fontId="12" fillId="2" borderId="0" xfId="0" applyFont="1" applyFill="1" applyAlignment="1">
      <alignment horizontal="right"/>
    </xf>
    <xf numFmtId="0" fontId="17" fillId="2" borderId="52" xfId="0" applyFont="1" applyFill="1" applyBorder="1"/>
    <xf numFmtId="0" fontId="17" fillId="2" borderId="61" xfId="0" applyFont="1" applyFill="1" applyBorder="1"/>
    <xf numFmtId="0" fontId="17" fillId="2" borderId="62" xfId="0" applyFont="1" applyFill="1" applyBorder="1"/>
    <xf numFmtId="0" fontId="30" fillId="2" borderId="0" xfId="0" applyFont="1" applyFill="1"/>
    <xf numFmtId="0" fontId="6" fillId="2" borderId="4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0" fontId="17" fillId="2" borderId="106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3" fillId="2" borderId="0" xfId="0" applyFont="1" applyFill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3" xfId="0" applyFont="1" applyFill="1" applyBorder="1"/>
    <xf numFmtId="0" fontId="3" fillId="0" borderId="3" xfId="0" applyFont="1" applyBorder="1" applyAlignment="1">
      <alignment horizontal="center" readingOrder="1"/>
    </xf>
    <xf numFmtId="0" fontId="3" fillId="2" borderId="3" xfId="0" applyFont="1" applyFill="1" applyBorder="1" applyAlignment="1">
      <alignment horizontal="center" readingOrder="1"/>
    </xf>
    <xf numFmtId="0" fontId="1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31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164" fontId="1" fillId="31" borderId="4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4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0" fillId="3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22" fillId="12" borderId="23" xfId="0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/>
    </xf>
    <xf numFmtId="1" fontId="22" fillId="12" borderId="23" xfId="0" applyNumberFormat="1" applyFont="1" applyFill="1" applyBorder="1" applyAlignment="1">
      <alignment horizontal="left" vertical="center"/>
    </xf>
    <xf numFmtId="1" fontId="22" fillId="1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2" fillId="18" borderId="89" xfId="0" applyFont="1" applyFill="1" applyBorder="1" applyAlignment="1">
      <alignment vertical="center" wrapText="1"/>
    </xf>
    <xf numFmtId="0" fontId="12" fillId="18" borderId="112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horizontal="center" vertical="center" wrapText="1"/>
    </xf>
    <xf numFmtId="44" fontId="32" fillId="16" borderId="48" xfId="0" applyNumberFormat="1" applyFont="1" applyFill="1" applyBorder="1" applyAlignment="1">
      <alignment vertical="center" wrapText="1"/>
    </xf>
    <xf numFmtId="44" fontId="12" fillId="18" borderId="89" xfId="0" applyNumberFormat="1" applyFont="1" applyFill="1" applyBorder="1" applyAlignment="1">
      <alignment vertical="center" wrapText="1"/>
    </xf>
    <xf numFmtId="44" fontId="12" fillId="27" borderId="56" xfId="0" applyNumberFormat="1" applyFont="1" applyFill="1" applyBorder="1" applyAlignment="1">
      <alignment vertical="center" wrapText="1"/>
    </xf>
    <xf numFmtId="166" fontId="17" fillId="19" borderId="148" xfId="0" applyNumberFormat="1" applyFont="1" applyFill="1" applyBorder="1" applyAlignment="1" applyProtection="1">
      <alignment vertical="center"/>
      <protection locked="0"/>
    </xf>
    <xf numFmtId="166" fontId="17" fillId="19" borderId="37" xfId="0" applyNumberFormat="1" applyFont="1" applyFill="1" applyBorder="1" applyAlignment="1" applyProtection="1">
      <alignment vertical="center"/>
      <protection locked="0"/>
    </xf>
    <xf numFmtId="166" fontId="17" fillId="19" borderId="38" xfId="0" applyNumberFormat="1" applyFont="1" applyFill="1" applyBorder="1" applyAlignment="1" applyProtection="1">
      <alignment vertical="center"/>
      <protection locked="0"/>
    </xf>
    <xf numFmtId="166" fontId="17" fillId="19" borderId="150" xfId="0" applyNumberFormat="1" applyFont="1" applyFill="1" applyBorder="1" applyAlignment="1" applyProtection="1">
      <alignment vertical="center"/>
      <protection locked="0"/>
    </xf>
    <xf numFmtId="166" fontId="17" fillId="19" borderId="40" xfId="0" applyNumberFormat="1" applyFont="1" applyFill="1" applyBorder="1" applyAlignment="1" applyProtection="1">
      <alignment vertical="center"/>
      <protection locked="0"/>
    </xf>
    <xf numFmtId="166" fontId="17" fillId="19" borderId="41" xfId="0" applyNumberFormat="1" applyFont="1" applyFill="1" applyBorder="1" applyAlignment="1" applyProtection="1">
      <alignment vertical="center"/>
      <protection locked="0"/>
    </xf>
    <xf numFmtId="166" fontId="32" fillId="19" borderId="144" xfId="0" applyNumberFormat="1" applyFont="1" applyFill="1" applyBorder="1" applyAlignment="1" applyProtection="1">
      <alignment vertical="center"/>
      <protection locked="0"/>
    </xf>
    <xf numFmtId="166" fontId="32" fillId="19" borderId="46" xfId="0" applyNumberFormat="1" applyFont="1" applyFill="1" applyBorder="1" applyAlignment="1" applyProtection="1">
      <alignment vertical="center"/>
      <protection locked="0"/>
    </xf>
    <xf numFmtId="166" fontId="32" fillId="19" borderId="47" xfId="0" applyNumberFormat="1" applyFont="1" applyFill="1" applyBorder="1" applyAlignment="1" applyProtection="1">
      <alignment vertical="center"/>
      <protection locked="0"/>
    </xf>
    <xf numFmtId="166" fontId="32" fillId="19" borderId="45" xfId="0" applyNumberFormat="1" applyFont="1" applyFill="1" applyBorder="1" applyAlignment="1" applyProtection="1">
      <alignment vertical="center"/>
      <protection locked="0"/>
    </xf>
    <xf numFmtId="166" fontId="17" fillId="19" borderId="110" xfId="0" applyNumberFormat="1" applyFont="1" applyFill="1" applyBorder="1" applyAlignment="1" applyProtection="1">
      <alignment vertical="center"/>
      <protection locked="0"/>
    </xf>
    <xf numFmtId="166" fontId="17" fillId="19" borderId="111" xfId="0" applyNumberFormat="1" applyFont="1" applyFill="1" applyBorder="1" applyAlignment="1" applyProtection="1">
      <alignment vertical="center"/>
      <protection locked="0"/>
    </xf>
    <xf numFmtId="166" fontId="43" fillId="2" borderId="144" xfId="0" applyNumberFormat="1" applyFont="1" applyFill="1" applyBorder="1" applyAlignment="1">
      <alignment vertical="center"/>
    </xf>
    <xf numFmtId="0" fontId="44" fillId="0" borderId="4" xfId="0" applyFont="1" applyBorder="1" applyAlignment="1">
      <alignment horizontal="left" vertical="center"/>
    </xf>
    <xf numFmtId="0" fontId="44" fillId="2" borderId="22" xfId="0" applyFont="1" applyFill="1" applyBorder="1" applyAlignment="1">
      <alignment horizontal="left" vertical="top"/>
    </xf>
    <xf numFmtId="0" fontId="45" fillId="2" borderId="0" xfId="0" applyFont="1" applyFill="1"/>
    <xf numFmtId="0" fontId="16" fillId="0" borderId="177" xfId="0" applyFont="1" applyBorder="1"/>
    <xf numFmtId="166" fontId="17" fillId="6" borderId="38" xfId="0" applyNumberFormat="1" applyFont="1" applyFill="1" applyBorder="1" applyAlignment="1">
      <alignment vertical="center"/>
    </xf>
    <xf numFmtId="166" fontId="17" fillId="6" borderId="41" xfId="0" applyNumberFormat="1" applyFont="1" applyFill="1" applyBorder="1" applyAlignment="1">
      <alignment vertical="center"/>
    </xf>
    <xf numFmtId="166" fontId="17" fillId="6" borderId="111" xfId="0" applyNumberFormat="1" applyFont="1" applyFill="1" applyBorder="1" applyAlignment="1">
      <alignment vertical="center"/>
    </xf>
    <xf numFmtId="166" fontId="32" fillId="6" borderId="49" xfId="0" applyNumberFormat="1" applyFont="1" applyFill="1" applyBorder="1" applyAlignment="1">
      <alignment vertical="center"/>
    </xf>
    <xf numFmtId="0" fontId="12" fillId="16" borderId="0" xfId="0" applyFont="1" applyFill="1" applyAlignment="1">
      <alignment vertical="center"/>
    </xf>
    <xf numFmtId="0" fontId="17" fillId="16" borderId="0" xfId="0" quotePrefix="1" applyFont="1" applyFill="1" applyAlignment="1">
      <alignment vertical="center"/>
    </xf>
    <xf numFmtId="0" fontId="17" fillId="16" borderId="0" xfId="0" quotePrefix="1" applyFont="1" applyFill="1" applyAlignment="1">
      <alignment vertical="center" wrapText="1"/>
    </xf>
    <xf numFmtId="44" fontId="32" fillId="44" borderId="48" xfId="0" applyNumberFormat="1" applyFont="1" applyFill="1" applyBorder="1" applyAlignment="1">
      <alignment vertical="center" wrapText="1"/>
    </xf>
    <xf numFmtId="44" fontId="0" fillId="2" borderId="0" xfId="0" applyNumberFormat="1" applyFill="1"/>
    <xf numFmtId="0" fontId="9" fillId="4" borderId="0" xfId="0" applyFont="1" applyFill="1" applyAlignment="1">
      <alignment horizontal="left" vertical="top"/>
    </xf>
    <xf numFmtId="14" fontId="20" fillId="6" borderId="33" xfId="0" applyNumberFormat="1" applyFont="1" applyFill="1" applyBorder="1" applyAlignment="1">
      <alignment horizontal="center" vertical="center"/>
    </xf>
    <xf numFmtId="44" fontId="12" fillId="12" borderId="133" xfId="0" applyNumberFormat="1" applyFont="1" applyFill="1" applyBorder="1" applyAlignment="1">
      <alignment horizontal="center" vertical="center" wrapText="1"/>
    </xf>
    <xf numFmtId="0" fontId="15" fillId="42" borderId="88" xfId="0" applyFont="1" applyFill="1" applyBorder="1" applyAlignment="1">
      <alignment horizontal="center" vertical="center"/>
    </xf>
    <xf numFmtId="0" fontId="15" fillId="42" borderId="77" xfId="0" applyFont="1" applyFill="1" applyBorder="1" applyAlignment="1">
      <alignment horizontal="center" vertical="center"/>
    </xf>
    <xf numFmtId="44" fontId="35" fillId="6" borderId="0" xfId="0" applyNumberFormat="1" applyFont="1" applyFill="1" applyAlignment="1">
      <alignment vertical="center"/>
    </xf>
    <xf numFmtId="0" fontId="46" fillId="5" borderId="0" xfId="0" applyFont="1" applyFill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0" fontId="46" fillId="2" borderId="0" xfId="0" applyFont="1" applyFill="1"/>
    <xf numFmtId="44" fontId="35" fillId="2" borderId="0" xfId="0" applyNumberFormat="1" applyFont="1" applyFill="1" applyAlignment="1">
      <alignment horizontal="center"/>
    </xf>
    <xf numFmtId="0" fontId="36" fillId="5" borderId="178" xfId="0" applyFont="1" applyFill="1" applyBorder="1" applyAlignment="1">
      <alignment horizontal="center" vertical="center" wrapText="1"/>
    </xf>
    <xf numFmtId="44" fontId="32" fillId="43" borderId="45" xfId="0" applyNumberFormat="1" applyFont="1" applyFill="1" applyBorder="1" applyAlignment="1">
      <alignment vertical="center"/>
    </xf>
    <xf numFmtId="44" fontId="32" fillId="43" borderId="46" xfId="0" applyNumberFormat="1" applyFont="1" applyFill="1" applyBorder="1" applyAlignment="1">
      <alignment vertical="center"/>
    </xf>
    <xf numFmtId="44" fontId="32" fillId="43" borderId="87" xfId="0" applyNumberFormat="1" applyFont="1" applyFill="1" applyBorder="1" applyAlignment="1">
      <alignment vertical="center"/>
    </xf>
    <xf numFmtId="44" fontId="32" fillId="2" borderId="73" xfId="0" applyNumberFormat="1" applyFont="1" applyFill="1" applyBorder="1" applyAlignment="1">
      <alignment vertical="center"/>
    </xf>
    <xf numFmtId="44" fontId="12" fillId="11" borderId="74" xfId="0" applyNumberFormat="1" applyFont="1" applyFill="1" applyBorder="1" applyAlignment="1">
      <alignment vertical="center"/>
    </xf>
    <xf numFmtId="44" fontId="12" fillId="11" borderId="75" xfId="0" applyNumberFormat="1" applyFont="1" applyFill="1" applyBorder="1" applyAlignment="1">
      <alignment vertical="center"/>
    </xf>
    <xf numFmtId="44" fontId="12" fillId="11" borderId="88" xfId="0" applyNumberFormat="1" applyFont="1" applyFill="1" applyBorder="1" applyAlignment="1">
      <alignment vertical="center"/>
    </xf>
    <xf numFmtId="44" fontId="12" fillId="11" borderId="79" xfId="0" applyNumberFormat="1" applyFont="1" applyFill="1" applyBorder="1" applyAlignment="1">
      <alignment vertical="center"/>
    </xf>
    <xf numFmtId="44" fontId="32" fillId="2" borderId="45" xfId="0" applyNumberFormat="1" applyFont="1" applyFill="1" applyBorder="1" applyAlignment="1">
      <alignment vertical="center"/>
    </xf>
    <xf numFmtId="44" fontId="32" fillId="2" borderId="46" xfId="0" applyNumberFormat="1" applyFont="1" applyFill="1" applyBorder="1" applyAlignment="1">
      <alignment vertical="center"/>
    </xf>
    <xf numFmtId="44" fontId="32" fillId="2" borderId="87" xfId="0" applyNumberFormat="1" applyFont="1" applyFill="1" applyBorder="1" applyAlignment="1">
      <alignment vertical="center"/>
    </xf>
    <xf numFmtId="44" fontId="12" fillId="28" borderId="39" xfId="0" applyNumberFormat="1" applyFont="1" applyFill="1" applyBorder="1" applyAlignment="1">
      <alignment vertical="center"/>
    </xf>
    <xf numFmtId="44" fontId="12" fillId="28" borderId="40" xfId="0" applyNumberFormat="1" applyFont="1" applyFill="1" applyBorder="1" applyAlignment="1">
      <alignment vertical="center"/>
    </xf>
    <xf numFmtId="44" fontId="12" fillId="28" borderId="78" xfId="0" applyNumberFormat="1" applyFont="1" applyFill="1" applyBorder="1" applyAlignment="1">
      <alignment vertical="center"/>
    </xf>
    <xf numFmtId="44" fontId="12" fillId="28" borderId="81" xfId="0" applyNumberFormat="1" applyFont="1" applyFill="1" applyBorder="1" applyAlignment="1">
      <alignment vertical="center"/>
    </xf>
    <xf numFmtId="4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97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55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57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0" xfId="0" applyNumberFormat="1" applyFont="1" applyFill="1" applyAlignment="1">
      <alignment vertical="center"/>
    </xf>
    <xf numFmtId="166" fontId="46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left"/>
    </xf>
    <xf numFmtId="0" fontId="6" fillId="8" borderId="4" xfId="0" applyFont="1" applyFill="1" applyBorder="1" applyAlignment="1">
      <alignment horizontal="left" vertical="center"/>
    </xf>
    <xf numFmtId="0" fontId="1" fillId="32" borderId="4" xfId="0" applyFont="1" applyFill="1" applyBorder="1" applyAlignment="1">
      <alignment horizontal="left" vertical="center"/>
    </xf>
    <xf numFmtId="0" fontId="1" fillId="32" borderId="19" xfId="0" applyFont="1" applyFill="1" applyBorder="1" applyAlignment="1">
      <alignment horizontal="left" vertical="top" wrapText="1"/>
    </xf>
    <xf numFmtId="0" fontId="0" fillId="32" borderId="20" xfId="0" applyFill="1" applyBorder="1" applyAlignment="1">
      <alignment horizontal="left" vertical="top"/>
    </xf>
    <xf numFmtId="0" fontId="0" fillId="32" borderId="21" xfId="0" applyFill="1" applyBorder="1" applyAlignment="1">
      <alignment horizontal="left" vertical="top"/>
    </xf>
    <xf numFmtId="0" fontId="0" fillId="32" borderId="23" xfId="0" applyFill="1" applyBorder="1" applyAlignment="1">
      <alignment horizontal="left" vertical="top"/>
    </xf>
    <xf numFmtId="0" fontId="0" fillId="32" borderId="0" xfId="0" applyFill="1" applyAlignment="1">
      <alignment horizontal="left" vertical="top"/>
    </xf>
    <xf numFmtId="0" fontId="0" fillId="32" borderId="24" xfId="0" applyFill="1" applyBorder="1" applyAlignment="1">
      <alignment horizontal="left" vertical="top"/>
    </xf>
    <xf numFmtId="0" fontId="0" fillId="32" borderId="25" xfId="0" applyFill="1" applyBorder="1" applyAlignment="1">
      <alignment horizontal="left" vertical="top"/>
    </xf>
    <xf numFmtId="0" fontId="0" fillId="32" borderId="26" xfId="0" applyFill="1" applyBorder="1" applyAlignment="1">
      <alignment horizontal="left" vertical="top"/>
    </xf>
    <xf numFmtId="0" fontId="0" fillId="32" borderId="1" xfId="0" applyFill="1" applyBorder="1" applyAlignment="1">
      <alignment horizontal="left" vertical="top"/>
    </xf>
    <xf numFmtId="0" fontId="1" fillId="31" borderId="4" xfId="0" applyFont="1" applyFill="1" applyBorder="1" applyAlignment="1">
      <alignment horizontal="left" vertical="center"/>
    </xf>
    <xf numFmtId="0" fontId="1" fillId="20" borderId="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readingOrder="1"/>
    </xf>
    <xf numFmtId="0" fontId="3" fillId="0" borderId="3" xfId="0" applyFont="1" applyBorder="1" applyAlignment="1">
      <alignment horizontal="center" readingOrder="1"/>
    </xf>
    <xf numFmtId="14" fontId="1" fillId="32" borderId="93" xfId="0" applyNumberFormat="1" applyFont="1" applyFill="1" applyBorder="1" applyAlignment="1">
      <alignment horizontal="left" vertical="center"/>
    </xf>
    <xf numFmtId="14" fontId="1" fillId="32" borderId="3" xfId="0" applyNumberFormat="1" applyFont="1" applyFill="1" applyBorder="1" applyAlignment="1">
      <alignment horizontal="left" vertical="center"/>
    </xf>
    <xf numFmtId="0" fontId="40" fillId="8" borderId="4" xfId="0" applyFont="1" applyFill="1" applyBorder="1" applyAlignment="1">
      <alignment horizontal="left" vertical="center"/>
    </xf>
    <xf numFmtId="1" fontId="1" fillId="20" borderId="4" xfId="0" applyNumberFormat="1" applyFont="1" applyFill="1" applyBorder="1" applyAlignment="1" applyProtection="1">
      <alignment horizontal="left" vertical="center"/>
      <protection locked="0"/>
    </xf>
    <xf numFmtId="0" fontId="14" fillId="5" borderId="58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4" fillId="5" borderId="173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" fillId="7" borderId="93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1" fontId="1" fillId="7" borderId="93" xfId="0" applyNumberFormat="1" applyFont="1" applyFill="1" applyBorder="1" applyAlignment="1">
      <alignment horizontal="left" vertical="center"/>
    </xf>
    <xf numFmtId="1" fontId="1" fillId="7" borderId="6" xfId="0" applyNumberFormat="1" applyFont="1" applyFill="1" applyBorder="1" applyAlignment="1">
      <alignment horizontal="left" vertical="center"/>
    </xf>
    <xf numFmtId="0" fontId="15" fillId="6" borderId="54" xfId="0" applyFont="1" applyFill="1" applyBorder="1" applyAlignment="1">
      <alignment horizontal="left" vertical="center" wrapText="1"/>
    </xf>
    <xf numFmtId="0" fontId="15" fillId="6" borderId="82" xfId="0" applyFont="1" applyFill="1" applyBorder="1" applyAlignment="1">
      <alignment horizontal="left" vertical="center" wrapText="1"/>
    </xf>
    <xf numFmtId="0" fontId="15" fillId="6" borderId="85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66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4" fillId="5" borderId="48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left" vertical="center" wrapText="1"/>
    </xf>
    <xf numFmtId="0" fontId="17" fillId="2" borderId="71" xfId="0" applyFont="1" applyFill="1" applyBorder="1" applyAlignment="1">
      <alignment horizontal="left" vertical="center" wrapText="1"/>
    </xf>
    <xf numFmtId="0" fontId="17" fillId="2" borderId="56" xfId="0" applyFont="1" applyFill="1" applyBorder="1" applyAlignment="1">
      <alignment horizontal="left" vertical="center" wrapText="1"/>
    </xf>
    <xf numFmtId="0" fontId="17" fillId="2" borderId="57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2" fillId="10" borderId="48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" fontId="31" fillId="22" borderId="99" xfId="0" applyNumberFormat="1" applyFont="1" applyFill="1" applyBorder="1" applyAlignment="1">
      <alignment horizontal="center" vertical="center"/>
    </xf>
    <xf numFmtId="4" fontId="31" fillId="22" borderId="100" xfId="0" applyNumberFormat="1" applyFont="1" applyFill="1" applyBorder="1" applyAlignment="1">
      <alignment horizontal="center" vertical="center"/>
    </xf>
    <xf numFmtId="4" fontId="31" fillId="22" borderId="102" xfId="0" applyNumberFormat="1" applyFont="1" applyFill="1" applyBorder="1" applyAlignment="1">
      <alignment horizontal="center" vertical="center"/>
    </xf>
    <xf numFmtId="4" fontId="31" fillId="22" borderId="101" xfId="0" applyNumberFormat="1" applyFont="1" applyFill="1" applyBorder="1" applyAlignment="1">
      <alignment horizontal="center" vertical="center"/>
    </xf>
    <xf numFmtId="0" fontId="12" fillId="10" borderId="87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1" fontId="17" fillId="19" borderId="54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2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77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5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9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92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8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90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56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89" xfId="0" applyFont="1" applyBorder="1" applyAlignment="1">
      <alignment horizontal="left"/>
    </xf>
    <xf numFmtId="0" fontId="17" fillId="0" borderId="90" xfId="0" applyFont="1" applyBorder="1" applyAlignment="1">
      <alignment horizontal="left"/>
    </xf>
    <xf numFmtId="0" fontId="30" fillId="15" borderId="62" xfId="0" applyFont="1" applyFill="1" applyBorder="1" applyAlignment="1">
      <alignment horizontal="center" vertical="center" wrapText="1"/>
    </xf>
    <xf numFmtId="0" fontId="30" fillId="15" borderId="106" xfId="0" applyFont="1" applyFill="1" applyBorder="1" applyAlignment="1">
      <alignment horizontal="center" vertical="center" wrapText="1"/>
    </xf>
    <xf numFmtId="1" fontId="17" fillId="19" borderId="78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6" xfId="0" applyNumberFormat="1" applyFont="1" applyFill="1" applyBorder="1" applyAlignment="1" applyProtection="1">
      <alignment horizontal="left" vertical="center" wrapText="1"/>
      <protection locked="0"/>
    </xf>
    <xf numFmtId="1" fontId="1" fillId="20" borderId="93" xfId="0" applyNumberFormat="1" applyFont="1" applyFill="1" applyBorder="1" applyAlignment="1">
      <alignment horizontal="left" vertical="center"/>
    </xf>
    <xf numFmtId="1" fontId="1" fillId="20" borderId="6" xfId="0" applyNumberFormat="1" applyFont="1" applyFill="1" applyBorder="1" applyAlignment="1">
      <alignment horizontal="left" vertical="center"/>
    </xf>
    <xf numFmtId="1" fontId="1" fillId="20" borderId="3" xfId="0" applyNumberFormat="1" applyFont="1" applyFill="1" applyBorder="1" applyAlignment="1">
      <alignment horizontal="left" vertical="center"/>
    </xf>
    <xf numFmtId="167" fontId="1" fillId="20" borderId="93" xfId="0" applyNumberFormat="1" applyFont="1" applyFill="1" applyBorder="1" applyAlignment="1">
      <alignment horizontal="left" vertical="center"/>
    </xf>
    <xf numFmtId="167" fontId="1" fillId="20" borderId="6" xfId="0" applyNumberFormat="1" applyFont="1" applyFill="1" applyBorder="1" applyAlignment="1">
      <alignment horizontal="left" vertical="center"/>
    </xf>
    <xf numFmtId="167" fontId="1" fillId="20" borderId="3" xfId="0" applyNumberFormat="1" applyFont="1" applyFill="1" applyBorder="1" applyAlignment="1">
      <alignment horizontal="left" vertical="center"/>
    </xf>
    <xf numFmtId="0" fontId="1" fillId="20" borderId="93" xfId="0" applyFont="1" applyFill="1" applyBorder="1" applyAlignment="1">
      <alignment horizontal="left" vertical="center"/>
    </xf>
    <xf numFmtId="0" fontId="1" fillId="20" borderId="6" xfId="0" applyFont="1" applyFill="1" applyBorder="1" applyAlignment="1">
      <alignment horizontal="left" vertical="center"/>
    </xf>
    <xf numFmtId="0" fontId="1" fillId="20" borderId="3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85" xfId="0" applyFont="1" applyBorder="1" applyAlignment="1">
      <alignment horizontal="left"/>
    </xf>
    <xf numFmtId="0" fontId="17" fillId="0" borderId="56" xfId="0" applyFont="1" applyBorder="1" applyAlignment="1">
      <alignment horizontal="left"/>
    </xf>
    <xf numFmtId="0" fontId="17" fillId="0" borderId="86" xfId="0" applyFont="1" applyBorder="1" applyAlignment="1">
      <alignment horizontal="left"/>
    </xf>
    <xf numFmtId="0" fontId="12" fillId="6" borderId="48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6" fillId="8" borderId="93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30" fillId="15" borderId="48" xfId="0" applyFont="1" applyFill="1" applyBorder="1" applyAlignment="1">
      <alignment horizontal="center" vertical="center" wrapText="1"/>
    </xf>
    <xf numFmtId="0" fontId="30" fillId="15" borderId="49" xfId="0" applyFont="1" applyFill="1" applyBorder="1" applyAlignment="1">
      <alignment horizontal="center" vertical="center" wrapText="1"/>
    </xf>
    <xf numFmtId="0" fontId="30" fillId="15" borderId="50" xfId="0" applyFont="1" applyFill="1" applyBorder="1" applyAlignment="1">
      <alignment horizontal="center" vertical="center" wrapText="1"/>
    </xf>
    <xf numFmtId="0" fontId="30" fillId="15" borderId="61" xfId="0" applyFont="1" applyFill="1" applyBorder="1" applyAlignment="1">
      <alignment horizontal="center" vertical="center" wrapText="1"/>
    </xf>
    <xf numFmtId="0" fontId="30" fillId="15" borderId="114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>
      <alignment horizontal="left" vertical="center" wrapText="1"/>
    </xf>
    <xf numFmtId="0" fontId="12" fillId="10" borderId="50" xfId="0" applyFont="1" applyFill="1" applyBorder="1" applyAlignment="1">
      <alignment horizontal="left" vertical="center" wrapText="1"/>
    </xf>
    <xf numFmtId="0" fontId="17" fillId="0" borderId="70" xfId="0" applyFont="1" applyBorder="1" applyAlignment="1">
      <alignment horizontal="left"/>
    </xf>
    <xf numFmtId="0" fontId="17" fillId="0" borderId="84" xfId="0" applyFont="1" applyBorder="1" applyAlignment="1">
      <alignment horizontal="left"/>
    </xf>
    <xf numFmtId="0" fontId="17" fillId="0" borderId="104" xfId="0" applyFont="1" applyBorder="1" applyAlignment="1">
      <alignment horizontal="left"/>
    </xf>
    <xf numFmtId="0" fontId="17" fillId="0" borderId="105" xfId="0" applyFont="1" applyBorder="1" applyAlignment="1">
      <alignment horizontal="left"/>
    </xf>
    <xf numFmtId="0" fontId="12" fillId="6" borderId="48" xfId="0" applyFont="1" applyFill="1" applyBorder="1" applyAlignment="1">
      <alignment horizontal="left"/>
    </xf>
    <xf numFmtId="0" fontId="12" fillId="6" borderId="50" xfId="0" applyFont="1" applyFill="1" applyBorder="1" applyAlignment="1">
      <alignment horizontal="left"/>
    </xf>
    <xf numFmtId="0" fontId="12" fillId="6" borderId="62" xfId="0" applyFont="1" applyFill="1" applyBorder="1" applyAlignment="1">
      <alignment horizontal="left"/>
    </xf>
    <xf numFmtId="0" fontId="12" fillId="6" borderId="108" xfId="0" applyFont="1" applyFill="1" applyBorder="1" applyAlignment="1">
      <alignment horizontal="left"/>
    </xf>
    <xf numFmtId="4" fontId="31" fillId="22" borderId="113" xfId="0" applyNumberFormat="1" applyFont="1" applyFill="1" applyBorder="1" applyAlignment="1">
      <alignment horizontal="center" vertical="center"/>
    </xf>
    <xf numFmtId="4" fontId="31" fillId="22" borderId="48" xfId="0" applyNumberFormat="1" applyFont="1" applyFill="1" applyBorder="1" applyAlignment="1">
      <alignment horizontal="center" vertical="center"/>
    </xf>
    <xf numFmtId="4" fontId="31" fillId="22" borderId="49" xfId="0" applyNumberFormat="1" applyFont="1" applyFill="1" applyBorder="1" applyAlignment="1">
      <alignment horizontal="center" vertical="center"/>
    </xf>
    <xf numFmtId="4" fontId="31" fillId="22" borderId="50" xfId="0" applyNumberFormat="1" applyFont="1" applyFill="1" applyBorder="1" applyAlignment="1">
      <alignment horizontal="center" vertical="center"/>
    </xf>
    <xf numFmtId="44" fontId="12" fillId="12" borderId="125" xfId="0" applyNumberFormat="1" applyFont="1" applyFill="1" applyBorder="1" applyAlignment="1">
      <alignment horizontal="center" vertical="center" wrapText="1"/>
    </xf>
    <xf numFmtId="44" fontId="12" fillId="12" borderId="127" xfId="0" applyNumberFormat="1" applyFont="1" applyFill="1" applyBorder="1" applyAlignment="1">
      <alignment horizontal="center" vertical="center" wrapText="1"/>
    </xf>
    <xf numFmtId="44" fontId="12" fillId="12" borderId="135" xfId="0" applyNumberFormat="1" applyFont="1" applyFill="1" applyBorder="1" applyAlignment="1">
      <alignment horizontal="center" vertical="center" wrapText="1"/>
    </xf>
    <xf numFmtId="1" fontId="17" fillId="12" borderId="112" xfId="0" applyNumberFormat="1" applyFont="1" applyFill="1" applyBorder="1" applyAlignment="1">
      <alignment horizontal="center" vertical="center" wrapText="1"/>
    </xf>
    <xf numFmtId="1" fontId="17" fillId="12" borderId="117" xfId="0" applyNumberFormat="1" applyFont="1" applyFill="1" applyBorder="1" applyAlignment="1">
      <alignment horizontal="center" vertical="center" wrapText="1"/>
    </xf>
    <xf numFmtId="1" fontId="17" fillId="12" borderId="130" xfId="0" applyNumberFormat="1" applyFont="1" applyFill="1" applyBorder="1" applyAlignment="1">
      <alignment horizontal="center" vertical="center" wrapText="1"/>
    </xf>
    <xf numFmtId="1" fontId="17" fillId="21" borderId="165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6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7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8" xfId="0" applyFont="1" applyFill="1" applyBorder="1" applyAlignment="1">
      <alignment horizontal="left" vertical="center" wrapText="1"/>
    </xf>
    <xf numFmtId="0" fontId="17" fillId="12" borderId="126" xfId="0" applyFont="1" applyFill="1" applyBorder="1" applyAlignment="1">
      <alignment horizontal="left" vertical="center" wrapText="1"/>
    </xf>
    <xf numFmtId="0" fontId="17" fillId="12" borderId="128" xfId="0" applyFont="1" applyFill="1" applyBorder="1" applyAlignment="1">
      <alignment horizontal="left" vertical="center" wrapText="1"/>
    </xf>
    <xf numFmtId="1" fontId="17" fillId="21" borderId="162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4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20" xfId="0" applyNumberFormat="1" applyFont="1" applyFill="1" applyBorder="1" applyAlignment="1">
      <alignment horizontal="center" vertical="center" wrapText="1"/>
    </xf>
    <xf numFmtId="1" fontId="17" fillId="12" borderId="54" xfId="0" applyNumberFormat="1" applyFont="1" applyFill="1" applyBorder="1" applyAlignment="1">
      <alignment horizontal="center" vertical="center" wrapText="1"/>
    </xf>
    <xf numFmtId="1" fontId="17" fillId="12" borderId="104" xfId="0" applyNumberFormat="1" applyFont="1" applyFill="1" applyBorder="1" applyAlignment="1">
      <alignment horizontal="center" vertical="center" wrapText="1"/>
    </xf>
    <xf numFmtId="1" fontId="17" fillId="12" borderId="56" xfId="0" applyNumberFormat="1" applyFont="1" applyFill="1" applyBorder="1" applyAlignment="1">
      <alignment horizontal="center" vertical="center" wrapText="1"/>
    </xf>
    <xf numFmtId="0" fontId="30" fillId="15" borderId="51" xfId="0" applyFont="1" applyFill="1" applyBorder="1" applyAlignment="1">
      <alignment horizontal="center" vertical="center" wrapText="1"/>
    </xf>
    <xf numFmtId="0" fontId="30" fillId="15" borderId="53" xfId="0" applyFont="1" applyFill="1" applyBorder="1" applyAlignment="1">
      <alignment horizontal="center" vertical="center" wrapText="1"/>
    </xf>
    <xf numFmtId="44" fontId="12" fillId="12" borderId="124" xfId="0" applyNumberFormat="1" applyFont="1" applyFill="1" applyBorder="1" applyAlignment="1">
      <alignment horizontal="center" vertical="center" wrapText="1"/>
    </xf>
    <xf numFmtId="44" fontId="12" fillId="12" borderId="115" xfId="0" applyNumberFormat="1" applyFont="1" applyFill="1" applyBorder="1" applyAlignment="1">
      <alignment horizontal="center" vertical="center" wrapText="1"/>
    </xf>
    <xf numFmtId="44" fontId="12" fillId="12" borderId="134" xfId="0" applyNumberFormat="1" applyFont="1" applyFill="1" applyBorder="1" applyAlignment="1">
      <alignment horizontal="center" vertical="center" wrapText="1"/>
    </xf>
    <xf numFmtId="0" fontId="22" fillId="12" borderId="23" xfId="0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/>
    </xf>
    <xf numFmtId="1" fontId="22" fillId="12" borderId="23" xfId="0" applyNumberFormat="1" applyFont="1" applyFill="1" applyBorder="1" applyAlignment="1">
      <alignment horizontal="left" vertical="center"/>
    </xf>
    <xf numFmtId="1" fontId="22" fillId="12" borderId="0" xfId="0" applyNumberFormat="1" applyFont="1" applyFill="1" applyAlignment="1">
      <alignment horizontal="left" vertical="center"/>
    </xf>
    <xf numFmtId="1" fontId="17" fillId="39" borderId="119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16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29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43" xfId="0" applyNumberFormat="1" applyFont="1" applyFill="1" applyBorder="1" applyAlignment="1">
      <alignment horizontal="center" vertical="center" wrapText="1"/>
    </xf>
    <xf numFmtId="1" fontId="17" fillId="21" borderId="120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54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42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70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8" xfId="0" applyFont="1" applyFill="1" applyBorder="1" applyAlignment="1">
      <alignment vertical="center" wrapText="1"/>
    </xf>
    <xf numFmtId="0" fontId="17" fillId="12" borderId="18" xfId="0" applyFont="1" applyFill="1" applyBorder="1" applyAlignment="1">
      <alignment vertical="center" wrapText="1"/>
    </xf>
    <xf numFmtId="0" fontId="17" fillId="12" borderId="27" xfId="0" applyFont="1" applyFill="1" applyBorder="1" applyAlignment="1">
      <alignment vertical="center" wrapText="1"/>
    </xf>
    <xf numFmtId="0" fontId="17" fillId="0" borderId="104" xfId="0" applyFont="1" applyBorder="1" applyAlignment="1">
      <alignment horizontal="left" vertical="center"/>
    </xf>
    <xf numFmtId="0" fontId="17" fillId="0" borderId="105" xfId="0" applyFont="1" applyBorder="1" applyAlignment="1">
      <alignment horizontal="left" vertical="center"/>
    </xf>
    <xf numFmtId="0" fontId="12" fillId="6" borderId="48" xfId="0" applyFont="1" applyFill="1" applyBorder="1" applyAlignment="1">
      <alignment horizontal="left" vertical="center"/>
    </xf>
    <xf numFmtId="0" fontId="12" fillId="6" borderId="50" xfId="0" applyFont="1" applyFill="1" applyBorder="1" applyAlignment="1">
      <alignment horizontal="left" vertical="center"/>
    </xf>
    <xf numFmtId="0" fontId="12" fillId="6" borderId="62" xfId="0" applyFont="1" applyFill="1" applyBorder="1" applyAlignment="1">
      <alignment horizontal="left" vertical="center"/>
    </xf>
    <xf numFmtId="0" fontId="12" fillId="6" borderId="108" xfId="0" applyFont="1" applyFill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85" xfId="0" applyFont="1" applyBorder="1" applyAlignment="1">
      <alignment horizontal="left" vertical="center"/>
    </xf>
    <xf numFmtId="0" fontId="12" fillId="12" borderId="15" xfId="0" applyFont="1" applyFill="1" applyBorder="1" applyAlignment="1">
      <alignment vertical="center" wrapText="1"/>
    </xf>
    <xf numFmtId="0" fontId="12" fillId="12" borderId="27" xfId="0" applyFont="1" applyFill="1" applyBorder="1" applyAlignment="1">
      <alignment vertical="center" wrapText="1"/>
    </xf>
    <xf numFmtId="44" fontId="21" fillId="12" borderId="124" xfId="0" applyNumberFormat="1" applyFont="1" applyFill="1" applyBorder="1" applyAlignment="1">
      <alignment horizontal="center" vertical="center" wrapText="1"/>
    </xf>
    <xf numFmtId="44" fontId="21" fillId="12" borderId="115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/>
    </xf>
    <xf numFmtId="1" fontId="17" fillId="39" borderId="70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54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42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43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17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30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20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69" xfId="0" applyFont="1" applyFill="1" applyBorder="1" applyAlignment="1">
      <alignment horizontal="center" vertical="center" wrapText="1"/>
    </xf>
    <xf numFmtId="0" fontId="1" fillId="32" borderId="93" xfId="0" applyFont="1" applyFill="1" applyBorder="1" applyAlignment="1">
      <alignment horizontal="left" vertical="center"/>
    </xf>
    <xf numFmtId="0" fontId="1" fillId="32" borderId="6" xfId="0" applyFont="1" applyFill="1" applyBorder="1" applyAlignment="1">
      <alignment horizontal="left" vertical="center"/>
    </xf>
    <xf numFmtId="0" fontId="1" fillId="32" borderId="3" xfId="0" applyFont="1" applyFill="1" applyBorder="1" applyAlignment="1">
      <alignment horizontal="left" vertical="center"/>
    </xf>
    <xf numFmtId="1" fontId="1" fillId="32" borderId="93" xfId="0" applyNumberFormat="1" applyFont="1" applyFill="1" applyBorder="1" applyAlignment="1">
      <alignment horizontal="left" vertical="center"/>
    </xf>
    <xf numFmtId="1" fontId="1" fillId="32" borderId="6" xfId="0" applyNumberFormat="1" applyFont="1" applyFill="1" applyBorder="1" applyAlignment="1">
      <alignment horizontal="left" vertical="center"/>
    </xf>
    <xf numFmtId="1" fontId="1" fillId="32" borderId="3" xfId="0" applyNumberFormat="1" applyFont="1" applyFill="1" applyBorder="1" applyAlignment="1">
      <alignment horizontal="left" vertical="center"/>
    </xf>
    <xf numFmtId="0" fontId="41" fillId="5" borderId="174" xfId="0" applyFont="1" applyFill="1" applyBorder="1" applyAlignment="1">
      <alignment horizontal="center" vertical="center" wrapText="1"/>
    </xf>
    <xf numFmtId="0" fontId="41" fillId="5" borderId="175" xfId="0" applyFont="1" applyFill="1" applyBorder="1" applyAlignment="1">
      <alignment horizontal="center" vertical="center" wrapText="1"/>
    </xf>
    <xf numFmtId="0" fontId="41" fillId="5" borderId="175" xfId="0" applyFont="1" applyFill="1" applyBorder="1" applyAlignment="1">
      <alignment horizontal="center" vertical="center"/>
    </xf>
    <xf numFmtId="0" fontId="41" fillId="5" borderId="176" xfId="0" applyFont="1" applyFill="1" applyBorder="1" applyAlignment="1">
      <alignment horizontal="center" vertical="center"/>
    </xf>
    <xf numFmtId="0" fontId="30" fillId="15" borderId="100" xfId="0" applyFont="1" applyFill="1" applyBorder="1" applyAlignment="1">
      <alignment horizontal="center" vertical="center" wrapText="1"/>
    </xf>
    <xf numFmtId="0" fontId="30" fillId="15" borderId="101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left" vertical="center"/>
    </xf>
  </cellXfs>
  <cellStyles count="1">
    <cellStyle name="Normal" xfId="0" builtinId="0"/>
  </cellStyles>
  <dxfs count="19">
    <dxf>
      <font>
        <b/>
        <i val="0"/>
        <color rgb="FF00B0F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color theme="8" tint="-0.24994659260841701"/>
      </font>
      <fill>
        <patternFill>
          <bgColor theme="7" tint="0.7999816888943144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0</xdr:rowOff>
    </xdr:from>
    <xdr:to>
      <xdr:col>3</xdr:col>
      <xdr:colOff>590550</xdr:colOff>
      <xdr:row>8</xdr:row>
      <xdr:rowOff>13166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" y="0"/>
          <a:ext cx="1771651" cy="16324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</xdr:row>
          <xdr:rowOff>47625</xdr:rowOff>
        </xdr:from>
        <xdr:to>
          <xdr:col>21</xdr:col>
          <xdr:colOff>581025</xdr:colOff>
          <xdr:row>3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N63"/>
  <sheetViews>
    <sheetView tabSelected="1" topLeftCell="A19" zoomScaleNormal="100" workbookViewId="0">
      <selection activeCell="E26" sqref="E26:F26"/>
    </sheetView>
  </sheetViews>
  <sheetFormatPr baseColWidth="10" defaultRowHeight="15" x14ac:dyDescent="0.25"/>
  <cols>
    <col min="4" max="4" width="16.5703125" customWidth="1"/>
    <col min="10" max="14" width="11.42578125" style="157"/>
  </cols>
  <sheetData>
    <row r="1" spans="1:10" x14ac:dyDescent="0.25">
      <c r="A1" s="531"/>
      <c r="B1" s="532"/>
      <c r="C1" s="532"/>
      <c r="D1" s="532"/>
      <c r="E1" s="532"/>
      <c r="F1" s="532"/>
      <c r="G1" s="532"/>
      <c r="H1" s="532"/>
      <c r="I1" s="532"/>
      <c r="J1" s="533"/>
    </row>
    <row r="2" spans="1:10" x14ac:dyDescent="0.25">
      <c r="A2" s="534"/>
      <c r="B2" s="535"/>
      <c r="C2" s="535"/>
      <c r="D2" s="535"/>
      <c r="F2" s="535"/>
      <c r="G2" s="535"/>
      <c r="H2" s="535"/>
      <c r="I2" s="535"/>
      <c r="J2" s="536"/>
    </row>
    <row r="3" spans="1:10" ht="21.75" x14ac:dyDescent="0.4">
      <c r="A3" s="534"/>
      <c r="B3" s="535"/>
      <c r="C3" s="535"/>
      <c r="D3" s="535"/>
      <c r="E3" s="537" t="s">
        <v>16</v>
      </c>
      <c r="F3" s="157"/>
      <c r="G3" s="536"/>
      <c r="H3" s="536"/>
      <c r="I3" s="536"/>
      <c r="J3" s="536"/>
    </row>
    <row r="4" spans="1:10" ht="21.75" x14ac:dyDescent="0.4">
      <c r="A4" s="534"/>
      <c r="B4" s="535"/>
      <c r="C4" s="535"/>
      <c r="D4" s="535"/>
      <c r="E4" s="537" t="s">
        <v>17</v>
      </c>
      <c r="F4" s="157"/>
      <c r="G4" s="536"/>
      <c r="H4" s="536"/>
      <c r="I4" s="536"/>
      <c r="J4" s="536"/>
    </row>
    <row r="5" spans="1:10" x14ac:dyDescent="0.25">
      <c r="A5" s="534"/>
      <c r="B5" s="535"/>
      <c r="C5" s="535"/>
      <c r="D5" s="535"/>
      <c r="E5" s="535"/>
      <c r="F5" s="535"/>
      <c r="G5" s="535"/>
      <c r="H5" s="535"/>
      <c r="I5" s="535"/>
      <c r="J5" s="536"/>
    </row>
    <row r="6" spans="1:10" x14ac:dyDescent="0.25">
      <c r="A6" s="534"/>
      <c r="B6" s="535"/>
      <c r="C6" s="535"/>
      <c r="D6" s="535"/>
      <c r="E6" s="535"/>
      <c r="F6" s="535"/>
      <c r="G6" s="535"/>
      <c r="H6" s="535"/>
      <c r="I6" s="535"/>
      <c r="J6" s="536"/>
    </row>
    <row r="7" spans="1:10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6"/>
    </row>
    <row r="8" spans="1:10" x14ac:dyDescent="0.25">
      <c r="A8" s="534"/>
      <c r="B8" s="535"/>
      <c r="C8" s="535"/>
      <c r="D8" s="535"/>
      <c r="E8" s="535"/>
      <c r="F8" s="535"/>
      <c r="G8" s="535"/>
      <c r="H8" s="535"/>
      <c r="I8" s="535"/>
      <c r="J8" s="536"/>
    </row>
    <row r="9" spans="1:10" x14ac:dyDescent="0.25">
      <c r="A9" s="538"/>
      <c r="B9" s="539"/>
      <c r="C9" s="539"/>
      <c r="D9" s="539"/>
      <c r="E9" s="539"/>
      <c r="F9" s="539"/>
      <c r="G9" s="539"/>
      <c r="H9" s="539"/>
      <c r="I9" s="539"/>
      <c r="J9" s="540"/>
    </row>
    <row r="10" spans="1:10" x14ac:dyDescent="0.25">
      <c r="A10" s="538"/>
      <c r="B10" s="538"/>
      <c r="C10" s="538"/>
      <c r="D10" s="538"/>
      <c r="E10" s="538"/>
      <c r="F10" s="538"/>
      <c r="G10" s="538"/>
      <c r="H10" s="538"/>
      <c r="I10" s="538"/>
      <c r="J10" s="541"/>
    </row>
    <row r="11" spans="1:10" x14ac:dyDescent="0.25">
      <c r="A11" s="538"/>
      <c r="B11" s="538"/>
      <c r="C11" s="538"/>
      <c r="D11" s="538"/>
      <c r="E11" s="538"/>
      <c r="F11" s="538"/>
      <c r="G11" s="538"/>
      <c r="H11" s="538"/>
      <c r="I11" s="538"/>
      <c r="J11" s="541"/>
    </row>
    <row r="12" spans="1:10" ht="28.5" x14ac:dyDescent="0.45">
      <c r="A12" s="662" t="s">
        <v>9</v>
      </c>
      <c r="B12" s="662"/>
      <c r="C12" s="662"/>
      <c r="D12" s="662"/>
      <c r="E12" s="662"/>
      <c r="F12" s="662"/>
      <c r="G12" s="662"/>
      <c r="H12" s="662"/>
      <c r="I12" s="662"/>
      <c r="J12" s="662"/>
    </row>
    <row r="13" spans="1:10" ht="21" x14ac:dyDescent="0.35">
      <c r="A13" s="542"/>
      <c r="B13" s="542"/>
      <c r="C13" s="542"/>
      <c r="D13" s="542"/>
      <c r="E13" s="542"/>
      <c r="F13" s="542"/>
      <c r="G13" s="542"/>
      <c r="H13" s="542"/>
      <c r="I13" s="542"/>
      <c r="J13" s="543"/>
    </row>
    <row r="14" spans="1:10" ht="21" x14ac:dyDescent="0.35">
      <c r="A14" s="663" t="s">
        <v>220</v>
      </c>
      <c r="B14" s="663"/>
      <c r="C14" s="663"/>
      <c r="D14" s="663"/>
      <c r="E14" s="663"/>
      <c r="F14" s="663"/>
      <c r="G14" s="663"/>
      <c r="H14" s="663"/>
      <c r="I14" s="663"/>
      <c r="J14" s="663"/>
    </row>
    <row r="15" spans="1:10" ht="21" x14ac:dyDescent="0.35">
      <c r="A15" s="663" t="s">
        <v>219</v>
      </c>
      <c r="B15" s="663"/>
      <c r="C15" s="663"/>
      <c r="D15" s="663"/>
      <c r="E15" s="663"/>
      <c r="F15" s="663"/>
      <c r="G15" s="663"/>
      <c r="H15" s="663"/>
      <c r="I15" s="663"/>
      <c r="J15" s="663"/>
    </row>
    <row r="16" spans="1:10" x14ac:dyDescent="0.25">
      <c r="A16" s="538"/>
      <c r="B16" s="539"/>
      <c r="C16" s="539"/>
      <c r="D16" s="539"/>
      <c r="E16" s="539"/>
      <c r="F16" s="539"/>
      <c r="G16" s="539"/>
      <c r="H16" s="539"/>
      <c r="I16" s="539"/>
      <c r="J16" s="540"/>
    </row>
    <row r="17" spans="1:10" ht="21.75" customHeight="1" x14ac:dyDescent="0.35">
      <c r="A17" s="663"/>
      <c r="B17" s="663"/>
      <c r="C17" s="663"/>
      <c r="D17" s="663"/>
      <c r="E17" s="663"/>
      <c r="F17" s="663"/>
      <c r="G17" s="663"/>
      <c r="H17" s="663"/>
      <c r="I17" s="663"/>
      <c r="J17" s="663"/>
    </row>
    <row r="18" spans="1:10" ht="21" x14ac:dyDescent="0.35">
      <c r="A18" s="663"/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ht="15.75" thickBot="1" x14ac:dyDescent="0.3">
      <c r="A19" s="534"/>
      <c r="B19" s="544"/>
      <c r="C19" s="544"/>
      <c r="D19" s="544"/>
      <c r="E19" s="544"/>
      <c r="F19" s="544"/>
      <c r="G19" s="544"/>
      <c r="H19" s="544"/>
      <c r="I19" s="544"/>
      <c r="J19" s="536"/>
    </row>
    <row r="20" spans="1:10" ht="21" x14ac:dyDescent="0.25">
      <c r="A20" s="545"/>
      <c r="B20" s="546"/>
      <c r="C20" s="547"/>
      <c r="D20" s="547"/>
      <c r="E20" s="548"/>
      <c r="F20" s="548"/>
      <c r="G20" s="548"/>
      <c r="H20" s="548"/>
      <c r="I20" s="549"/>
      <c r="J20" s="550"/>
    </row>
    <row r="21" spans="1:10" x14ac:dyDescent="0.25">
      <c r="A21" s="551"/>
      <c r="B21" s="552"/>
      <c r="C21" s="649" t="s">
        <v>0</v>
      </c>
      <c r="D21" s="649"/>
      <c r="E21" s="553">
        <v>2023</v>
      </c>
      <c r="F21" s="600"/>
      <c r="G21" s="554"/>
      <c r="H21" s="554"/>
      <c r="I21" s="555"/>
      <c r="J21" s="550"/>
    </row>
    <row r="22" spans="1:10" x14ac:dyDescent="0.25">
      <c r="A22" s="551"/>
      <c r="B22" s="552"/>
      <c r="C22" s="649" t="s">
        <v>1</v>
      </c>
      <c r="D22" s="649"/>
      <c r="E22" s="556"/>
      <c r="F22" s="600"/>
      <c r="G22" s="554"/>
      <c r="H22" s="554"/>
      <c r="I22" s="555"/>
      <c r="J22" s="550"/>
    </row>
    <row r="23" spans="1:10" ht="15.75" thickBot="1" x14ac:dyDescent="0.3">
      <c r="A23" s="551"/>
      <c r="B23" s="557"/>
      <c r="C23" s="558"/>
      <c r="D23" s="559"/>
      <c r="E23" s="560"/>
      <c r="F23" s="560"/>
      <c r="G23" s="560"/>
      <c r="H23" s="560"/>
      <c r="I23" s="561"/>
      <c r="J23" s="550"/>
    </row>
    <row r="24" spans="1:10" x14ac:dyDescent="0.25">
      <c r="A24" s="551"/>
      <c r="B24" s="562"/>
      <c r="C24" s="563"/>
      <c r="D24" s="547"/>
      <c r="E24" s="564"/>
      <c r="F24" s="564"/>
      <c r="G24" s="564"/>
      <c r="H24" s="564"/>
      <c r="I24" s="549"/>
      <c r="J24" s="550"/>
    </row>
    <row r="25" spans="1:10" x14ac:dyDescent="0.25">
      <c r="A25" s="551"/>
      <c r="B25" s="565"/>
      <c r="C25" s="566" t="s">
        <v>216</v>
      </c>
      <c r="D25" s="567"/>
      <c r="E25" s="568"/>
      <c r="F25" s="568"/>
      <c r="G25" s="568"/>
      <c r="H25" s="568"/>
      <c r="I25" s="569"/>
      <c r="J25" s="550"/>
    </row>
    <row r="26" spans="1:10" x14ac:dyDescent="0.25">
      <c r="A26" s="551"/>
      <c r="B26" s="565"/>
      <c r="C26" s="649" t="s">
        <v>214</v>
      </c>
      <c r="D26" s="649"/>
      <c r="E26" s="661"/>
      <c r="F26" s="661"/>
      <c r="G26" s="568"/>
      <c r="H26" s="568"/>
      <c r="I26" s="569"/>
      <c r="J26" s="550"/>
    </row>
    <row r="27" spans="1:10" x14ac:dyDescent="0.25">
      <c r="A27" s="551"/>
      <c r="B27" s="565"/>
      <c r="C27" s="649" t="s">
        <v>215</v>
      </c>
      <c r="D27" s="649"/>
      <c r="E27" s="661"/>
      <c r="F27" s="661"/>
      <c r="G27" s="568"/>
      <c r="H27" s="568"/>
      <c r="I27" s="569"/>
      <c r="J27" s="550"/>
    </row>
    <row r="28" spans="1:10" x14ac:dyDescent="0.25">
      <c r="A28" s="551"/>
      <c r="B28" s="552"/>
      <c r="C28" s="666" t="s">
        <v>217</v>
      </c>
      <c r="D28" s="666"/>
      <c r="E28" s="661"/>
      <c r="F28" s="661"/>
      <c r="G28" s="554"/>
      <c r="H28" s="554"/>
      <c r="I28" s="555"/>
      <c r="J28" s="550"/>
    </row>
    <row r="29" spans="1:10" x14ac:dyDescent="0.25">
      <c r="A29" s="551"/>
      <c r="B29" s="552"/>
      <c r="C29" s="570"/>
      <c r="D29" s="571"/>
      <c r="E29" s="554"/>
      <c r="F29" s="554"/>
      <c r="G29" s="554"/>
      <c r="H29" s="554"/>
      <c r="I29" s="555"/>
      <c r="J29" s="550"/>
    </row>
    <row r="30" spans="1:10" x14ac:dyDescent="0.25">
      <c r="A30" s="551"/>
      <c r="B30" s="552"/>
      <c r="C30" s="649" t="s">
        <v>2</v>
      </c>
      <c r="D30" s="649"/>
      <c r="E30" s="661"/>
      <c r="F30" s="661"/>
      <c r="G30" s="661"/>
      <c r="H30" s="554"/>
      <c r="I30" s="555"/>
      <c r="J30" s="550"/>
    </row>
    <row r="31" spans="1:10" x14ac:dyDescent="0.25">
      <c r="A31" s="551"/>
      <c r="B31" s="552"/>
      <c r="C31" s="649" t="s">
        <v>3</v>
      </c>
      <c r="D31" s="649"/>
      <c r="E31" s="667"/>
      <c r="F31" s="667"/>
      <c r="G31" s="667"/>
      <c r="H31" s="554"/>
      <c r="I31" s="555"/>
      <c r="J31" s="550"/>
    </row>
    <row r="32" spans="1:10" x14ac:dyDescent="0.25">
      <c r="A32" s="551"/>
      <c r="B32" s="552"/>
      <c r="C32" s="649" t="s">
        <v>4</v>
      </c>
      <c r="D32" s="649"/>
      <c r="E32" s="660"/>
      <c r="F32" s="660"/>
      <c r="G32" s="660"/>
      <c r="H32" s="600"/>
      <c r="I32" s="555"/>
      <c r="J32" s="550"/>
    </row>
    <row r="33" spans="1:10" x14ac:dyDescent="0.25">
      <c r="A33" s="551"/>
      <c r="B33" s="552"/>
      <c r="C33" s="649" t="s">
        <v>5</v>
      </c>
      <c r="D33" s="649"/>
      <c r="E33" s="660"/>
      <c r="F33" s="660"/>
      <c r="G33" s="660"/>
      <c r="H33" s="600"/>
      <c r="I33" s="555"/>
      <c r="J33" s="550"/>
    </row>
    <row r="34" spans="1:10" ht="15.75" thickBot="1" x14ac:dyDescent="0.3">
      <c r="A34" s="551"/>
      <c r="B34" s="557"/>
      <c r="C34" s="558"/>
      <c r="D34" s="559"/>
      <c r="E34" s="560"/>
      <c r="F34" s="560"/>
      <c r="G34" s="560"/>
      <c r="H34" s="560"/>
      <c r="I34" s="561"/>
      <c r="J34" s="550"/>
    </row>
    <row r="35" spans="1:10" x14ac:dyDescent="0.25">
      <c r="A35" s="551"/>
      <c r="B35" s="562"/>
      <c r="C35" s="547"/>
      <c r="D35" s="547"/>
      <c r="E35" s="564"/>
      <c r="F35" s="564"/>
      <c r="G35" s="564"/>
      <c r="H35" s="564"/>
      <c r="I35" s="572"/>
      <c r="J35" s="550"/>
    </row>
    <row r="36" spans="1:10" x14ac:dyDescent="0.25">
      <c r="A36" s="551"/>
      <c r="B36" s="552"/>
      <c r="C36" s="649" t="s">
        <v>6</v>
      </c>
      <c r="D36" s="649"/>
      <c r="E36" s="661"/>
      <c r="F36" s="661"/>
      <c r="G36" s="661"/>
      <c r="H36" s="661"/>
      <c r="I36" s="555"/>
      <c r="J36" s="550"/>
    </row>
    <row r="37" spans="1:10" ht="15.75" thickBot="1" x14ac:dyDescent="0.3">
      <c r="A37" s="551"/>
      <c r="B37" s="557"/>
      <c r="C37" s="559"/>
      <c r="D37" s="559"/>
      <c r="E37" s="560"/>
      <c r="F37" s="560"/>
      <c r="G37" s="560"/>
      <c r="H37" s="560"/>
      <c r="I37" s="561"/>
      <c r="J37" s="550"/>
    </row>
    <row r="38" spans="1:10" x14ac:dyDescent="0.25">
      <c r="A38" s="551"/>
      <c r="B38" s="562"/>
      <c r="C38" s="547"/>
      <c r="D38" s="547"/>
      <c r="E38" s="564"/>
      <c r="F38" s="564"/>
      <c r="G38" s="564"/>
      <c r="H38" s="564"/>
      <c r="I38" s="549"/>
      <c r="J38" s="550"/>
    </row>
    <row r="39" spans="1:10" x14ac:dyDescent="0.25">
      <c r="A39" s="551"/>
      <c r="B39" s="565"/>
      <c r="C39" s="649" t="s">
        <v>75</v>
      </c>
      <c r="D39" s="649"/>
      <c r="E39" s="650" t="s">
        <v>114</v>
      </c>
      <c r="F39" s="650"/>
      <c r="G39" s="600"/>
      <c r="H39" s="568"/>
      <c r="I39" s="569"/>
      <c r="J39" s="550"/>
    </row>
    <row r="40" spans="1:10" x14ac:dyDescent="0.25">
      <c r="A40" s="551"/>
      <c r="B40" s="552"/>
      <c r="C40" s="649" t="s">
        <v>7</v>
      </c>
      <c r="D40" s="649"/>
      <c r="E40" s="664"/>
      <c r="F40" s="665"/>
      <c r="G40" s="600"/>
      <c r="H40" s="554"/>
      <c r="I40" s="555"/>
      <c r="J40" s="550"/>
    </row>
    <row r="41" spans="1:10" x14ac:dyDescent="0.25">
      <c r="A41" s="551"/>
      <c r="B41" s="552"/>
      <c r="C41" s="649" t="s">
        <v>8</v>
      </c>
      <c r="D41" s="649"/>
      <c r="E41" s="650"/>
      <c r="F41" s="650"/>
      <c r="G41" s="600"/>
      <c r="H41" s="554"/>
      <c r="I41" s="555"/>
      <c r="J41" s="550"/>
    </row>
    <row r="42" spans="1:10" ht="15.75" thickBot="1" x14ac:dyDescent="0.3">
      <c r="A42" s="551"/>
      <c r="B42" s="557"/>
      <c r="C42" s="573"/>
      <c r="D42" s="573"/>
      <c r="E42" s="573"/>
      <c r="F42" s="573"/>
      <c r="G42" s="573"/>
      <c r="H42" s="573"/>
      <c r="I42" s="561"/>
      <c r="J42" s="550"/>
    </row>
    <row r="43" spans="1:10" ht="15.75" thickBot="1" x14ac:dyDescent="0.3">
      <c r="A43" s="534"/>
      <c r="B43" s="532"/>
      <c r="C43" s="532"/>
      <c r="D43" s="532"/>
      <c r="E43" s="532"/>
      <c r="F43" s="532"/>
      <c r="G43" s="532"/>
      <c r="H43" s="532"/>
      <c r="I43" s="535"/>
      <c r="J43" s="536"/>
    </row>
    <row r="44" spans="1:10" x14ac:dyDescent="0.25">
      <c r="A44" s="534"/>
      <c r="B44" s="1"/>
      <c r="C44" s="2"/>
      <c r="D44" s="2"/>
      <c r="E44" s="2"/>
      <c r="F44" s="2"/>
      <c r="G44" s="2"/>
      <c r="H44" s="2"/>
      <c r="I44" s="3"/>
      <c r="J44" s="536"/>
    </row>
    <row r="45" spans="1:10" x14ac:dyDescent="0.25">
      <c r="A45" s="534"/>
      <c r="B45" s="4"/>
      <c r="C45" s="613" t="s">
        <v>256</v>
      </c>
      <c r="D45" s="19"/>
      <c r="E45" s="651"/>
      <c r="F45" s="652"/>
      <c r="G45" s="652"/>
      <c r="H45" s="653"/>
      <c r="I45" s="5"/>
      <c r="J45" s="536"/>
    </row>
    <row r="46" spans="1:10" x14ac:dyDescent="0.25">
      <c r="A46" s="534"/>
      <c r="B46" s="4"/>
      <c r="C46" s="19"/>
      <c r="D46" s="19"/>
      <c r="E46" s="654"/>
      <c r="F46" s="655"/>
      <c r="G46" s="655"/>
      <c r="H46" s="656"/>
      <c r="I46" s="601"/>
      <c r="J46" s="536"/>
    </row>
    <row r="47" spans="1:10" x14ac:dyDescent="0.25">
      <c r="A47" s="534"/>
      <c r="B47" s="4"/>
      <c r="C47" s="19"/>
      <c r="D47" s="19"/>
      <c r="E47" s="654"/>
      <c r="F47" s="655"/>
      <c r="G47" s="655"/>
      <c r="H47" s="656"/>
      <c r="I47" s="5"/>
      <c r="J47" s="536"/>
    </row>
    <row r="48" spans="1:10" x14ac:dyDescent="0.25">
      <c r="A48" s="534"/>
      <c r="B48" s="4"/>
      <c r="C48" s="19"/>
      <c r="D48" s="19"/>
      <c r="E48" s="654"/>
      <c r="F48" s="655"/>
      <c r="G48" s="655"/>
      <c r="H48" s="656"/>
      <c r="I48" s="5"/>
      <c r="J48" s="536"/>
    </row>
    <row r="49" spans="1:10" x14ac:dyDescent="0.25">
      <c r="A49" s="534"/>
      <c r="B49" s="4"/>
      <c r="C49" s="19"/>
      <c r="D49" s="19"/>
      <c r="E49" s="657"/>
      <c r="F49" s="658"/>
      <c r="G49" s="658"/>
      <c r="H49" s="659"/>
      <c r="I49" s="5"/>
      <c r="J49" s="536"/>
    </row>
    <row r="50" spans="1:10" ht="15.75" thickBot="1" x14ac:dyDescent="0.3">
      <c r="A50" s="534"/>
      <c r="B50" s="6"/>
      <c r="C50" s="7"/>
      <c r="D50" s="7"/>
      <c r="E50" s="7"/>
      <c r="F50" s="7"/>
      <c r="G50" s="7"/>
      <c r="H50" s="7"/>
      <c r="I50" s="8"/>
      <c r="J50" s="536"/>
    </row>
    <row r="51" spans="1:10" x14ac:dyDescent="0.25">
      <c r="A51" s="534"/>
      <c r="B51" s="532"/>
      <c r="C51" s="532"/>
      <c r="D51" s="532"/>
      <c r="E51" s="532"/>
      <c r="F51" s="532"/>
      <c r="G51" s="532"/>
      <c r="H51" s="532"/>
      <c r="I51" s="532"/>
      <c r="J51" s="536"/>
    </row>
    <row r="52" spans="1:10" x14ac:dyDescent="0.25">
      <c r="A52" s="534"/>
      <c r="B52" s="535"/>
      <c r="C52" s="535"/>
      <c r="D52" s="535"/>
      <c r="E52" s="535"/>
      <c r="F52" s="535"/>
      <c r="G52" s="535"/>
      <c r="H52" s="535"/>
      <c r="I52" s="574" t="s">
        <v>257</v>
      </c>
      <c r="J52" s="536"/>
    </row>
    <row r="53" spans="1:10" x14ac:dyDescent="0.25">
      <c r="A53" s="157"/>
      <c r="B53" s="157"/>
      <c r="C53" s="157"/>
      <c r="D53" s="157"/>
      <c r="E53" s="157"/>
      <c r="F53" s="157"/>
      <c r="G53" s="157"/>
      <c r="H53" s="157"/>
      <c r="I53" s="157"/>
    </row>
    <row r="54" spans="1:10" x14ac:dyDescent="0.25">
      <c r="A54" s="157"/>
      <c r="B54" s="157"/>
      <c r="C54" s="157"/>
      <c r="D54" s="157"/>
      <c r="E54" s="157"/>
      <c r="F54" s="157"/>
      <c r="G54" s="157"/>
      <c r="H54" s="157"/>
      <c r="I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</row>
    <row r="56" spans="1:10" x14ac:dyDescent="0.25">
      <c r="A56" s="157"/>
      <c r="B56" s="157"/>
      <c r="C56" s="157"/>
      <c r="D56" s="157"/>
      <c r="E56" s="157"/>
      <c r="F56" s="157"/>
      <c r="G56" s="157"/>
      <c r="H56" s="157"/>
      <c r="I56" s="157"/>
    </row>
    <row r="57" spans="1:10" x14ac:dyDescent="0.25">
      <c r="A57" s="157"/>
      <c r="B57" s="157"/>
      <c r="C57" s="157"/>
      <c r="D57" s="157"/>
      <c r="E57" s="157"/>
      <c r="F57" s="157"/>
      <c r="G57" s="157"/>
      <c r="H57" s="157"/>
    </row>
    <row r="58" spans="1:10" x14ac:dyDescent="0.25">
      <c r="A58" s="157"/>
      <c r="B58" s="157"/>
      <c r="C58" s="157"/>
      <c r="D58" s="157"/>
      <c r="E58" s="157"/>
      <c r="F58" s="157"/>
      <c r="G58" s="157"/>
      <c r="H58" s="157"/>
      <c r="I58" s="157"/>
    </row>
    <row r="59" spans="1:10" x14ac:dyDescent="0.25">
      <c r="A59" s="157"/>
      <c r="B59" s="157"/>
      <c r="C59" s="157"/>
      <c r="D59" s="157"/>
      <c r="E59" s="157"/>
      <c r="F59" s="157"/>
      <c r="G59" s="157"/>
      <c r="H59" s="157"/>
      <c r="I59" s="157"/>
    </row>
    <row r="60" spans="1:10" x14ac:dyDescent="0.25">
      <c r="A60" s="157"/>
      <c r="B60" s="157"/>
      <c r="C60" s="157"/>
      <c r="D60" s="157"/>
      <c r="E60" s="157"/>
      <c r="F60" s="157"/>
      <c r="G60" s="157"/>
      <c r="H60" s="157"/>
      <c r="I60" s="157"/>
    </row>
    <row r="61" spans="1:10" x14ac:dyDescent="0.25">
      <c r="A61" s="157"/>
      <c r="B61" s="157"/>
      <c r="C61" s="157"/>
      <c r="D61" s="157"/>
      <c r="E61" s="157"/>
      <c r="F61" s="157"/>
      <c r="G61" s="157"/>
      <c r="H61" s="157"/>
      <c r="I61" s="157"/>
    </row>
    <row r="62" spans="1:10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575"/>
    </row>
    <row r="63" spans="1:10" x14ac:dyDescent="0.25">
      <c r="A63" s="157"/>
      <c r="B63" s="157"/>
      <c r="C63" s="157"/>
      <c r="D63" s="157"/>
      <c r="E63" s="157"/>
      <c r="F63" s="157"/>
      <c r="G63" s="157"/>
      <c r="H63" s="157"/>
      <c r="I63" s="157"/>
    </row>
  </sheetData>
  <sheetProtection password="B19B" sheet="1" selectLockedCells="1"/>
  <mergeCells count="30">
    <mergeCell ref="C22:D22"/>
    <mergeCell ref="C39:D39"/>
    <mergeCell ref="E39:F39"/>
    <mergeCell ref="E40:F40"/>
    <mergeCell ref="C28:D28"/>
    <mergeCell ref="E28:F28"/>
    <mergeCell ref="C30:D30"/>
    <mergeCell ref="E30:G30"/>
    <mergeCell ref="C31:D31"/>
    <mergeCell ref="E31:G31"/>
    <mergeCell ref="C40:D40"/>
    <mergeCell ref="C26:D26"/>
    <mergeCell ref="E26:F26"/>
    <mergeCell ref="C27:D27"/>
    <mergeCell ref="E27:F27"/>
    <mergeCell ref="A12:J12"/>
    <mergeCell ref="A14:J14"/>
    <mergeCell ref="A15:J15"/>
    <mergeCell ref="A17:J17"/>
    <mergeCell ref="C21:D21"/>
    <mergeCell ref="A18:J18"/>
    <mergeCell ref="C41:D41"/>
    <mergeCell ref="E41:F41"/>
    <mergeCell ref="E45:H49"/>
    <mergeCell ref="C32:D32"/>
    <mergeCell ref="E32:G32"/>
    <mergeCell ref="C33:D33"/>
    <mergeCell ref="E33:G33"/>
    <mergeCell ref="C36:D36"/>
    <mergeCell ref="E36:H36"/>
  </mergeCells>
  <dataValidations count="1">
    <dataValidation type="list" allowBlank="1" showInputMessage="1" showErrorMessage="1" sqref="E26:F27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Footer>&amp;RPage 1/7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outon1_Cliquer">
                <anchor moveWithCells="1" sizeWithCells="1">
                  <from>
                    <xdr:col>20</xdr:col>
                    <xdr:colOff>123825</xdr:colOff>
                    <xdr:row>1</xdr:row>
                    <xdr:rowOff>47625</xdr:rowOff>
                  </from>
                  <to>
                    <xdr:col>21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60"/>
  <sheetViews>
    <sheetView zoomScaleNormal="100" zoomScalePageLayoutView="5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2.75" x14ac:dyDescent="0.2"/>
  <cols>
    <col min="1" max="1" width="69.7109375" style="10" customWidth="1"/>
    <col min="2" max="4" width="26" style="10" customWidth="1"/>
    <col min="5" max="5" width="30.140625" style="10" customWidth="1"/>
    <col min="6" max="17" width="11.42578125" style="9"/>
    <col min="18" max="16384" width="11.42578125" style="10"/>
  </cols>
  <sheetData>
    <row r="1" spans="1:5" s="9" customFormat="1" ht="21.75" customHeight="1" x14ac:dyDescent="0.2">
      <c r="A1" s="668" t="s">
        <v>14</v>
      </c>
      <c r="B1" s="669"/>
      <c r="C1" s="670"/>
      <c r="D1" s="670"/>
      <c r="E1" s="671"/>
    </row>
    <row r="2" spans="1:5" ht="57" customHeight="1" x14ac:dyDescent="0.2">
      <c r="A2" s="20" t="s">
        <v>15</v>
      </c>
      <c r="B2" s="21" t="s">
        <v>221</v>
      </c>
      <c r="C2" s="21" t="s">
        <v>222</v>
      </c>
      <c r="D2" s="21" t="s">
        <v>223</v>
      </c>
      <c r="E2" s="22" t="s">
        <v>10</v>
      </c>
    </row>
    <row r="3" spans="1:5" ht="18" customHeight="1" x14ac:dyDescent="0.2">
      <c r="A3" s="505" t="s">
        <v>224</v>
      </c>
      <c r="B3" s="506"/>
      <c r="C3" s="616"/>
      <c r="D3" s="616"/>
      <c r="E3" s="507"/>
    </row>
    <row r="4" spans="1:5" x14ac:dyDescent="0.2">
      <c r="A4" s="27" t="s">
        <v>250</v>
      </c>
      <c r="B4" s="153"/>
      <c r="C4" s="617"/>
      <c r="D4" s="617"/>
      <c r="E4" s="178"/>
    </row>
    <row r="5" spans="1:5" x14ac:dyDescent="0.2">
      <c r="A5" s="27" t="s">
        <v>251</v>
      </c>
      <c r="B5" s="153"/>
      <c r="C5" s="617"/>
      <c r="D5" s="617"/>
      <c r="E5" s="178"/>
    </row>
    <row r="6" spans="1:5" x14ac:dyDescent="0.2">
      <c r="A6" s="27" t="s">
        <v>225</v>
      </c>
      <c r="B6" s="153"/>
      <c r="C6" s="503"/>
      <c r="D6" s="503"/>
      <c r="E6" s="178"/>
    </row>
    <row r="7" spans="1:5" x14ac:dyDescent="0.2">
      <c r="A7" s="27" t="s">
        <v>249</v>
      </c>
      <c r="B7" s="153"/>
      <c r="C7" s="503"/>
      <c r="D7" s="503"/>
      <c r="E7" s="178"/>
    </row>
    <row r="8" spans="1:5" ht="38.25" x14ac:dyDescent="0.2">
      <c r="A8" s="27" t="s">
        <v>236</v>
      </c>
      <c r="B8" s="153"/>
      <c r="C8" s="503"/>
      <c r="D8" s="503"/>
      <c r="E8" s="178"/>
    </row>
    <row r="9" spans="1:5" ht="38.25" x14ac:dyDescent="0.2">
      <c r="A9" s="27" t="s">
        <v>19</v>
      </c>
      <c r="B9" s="153"/>
      <c r="C9" s="503"/>
      <c r="D9" s="503"/>
      <c r="E9" s="178"/>
    </row>
    <row r="10" spans="1:5" ht="15" customHeight="1" x14ac:dyDescent="0.2">
      <c r="A10" s="676" t="s">
        <v>226</v>
      </c>
      <c r="B10" s="677"/>
      <c r="C10" s="677"/>
      <c r="D10" s="677"/>
      <c r="E10" s="678"/>
    </row>
    <row r="11" spans="1:5" x14ac:dyDescent="0.2">
      <c r="A11" s="27" t="s">
        <v>227</v>
      </c>
      <c r="B11" s="153"/>
      <c r="C11" s="503"/>
      <c r="D11" s="503"/>
      <c r="E11" s="178"/>
    </row>
    <row r="12" spans="1:5" ht="15" customHeight="1" x14ac:dyDescent="0.2">
      <c r="A12" s="676" t="s">
        <v>228</v>
      </c>
      <c r="B12" s="677"/>
      <c r="C12" s="677"/>
      <c r="D12" s="677"/>
      <c r="E12" s="678"/>
    </row>
    <row r="13" spans="1:5" x14ac:dyDescent="0.2">
      <c r="A13" s="27" t="s">
        <v>229</v>
      </c>
      <c r="B13" s="153"/>
      <c r="C13" s="503"/>
      <c r="D13" s="503"/>
      <c r="E13" s="178"/>
    </row>
    <row r="14" spans="1:5" x14ac:dyDescent="0.2">
      <c r="A14" s="27" t="s">
        <v>230</v>
      </c>
      <c r="B14" s="153"/>
      <c r="C14" s="503"/>
      <c r="D14" s="503"/>
      <c r="E14" s="178"/>
    </row>
    <row r="15" spans="1:5" x14ac:dyDescent="0.2">
      <c r="A15" s="27" t="s">
        <v>231</v>
      </c>
      <c r="B15" s="153"/>
      <c r="C15" s="503"/>
      <c r="D15" s="503"/>
      <c r="E15" s="178"/>
    </row>
    <row r="16" spans="1:5" x14ac:dyDescent="0.2">
      <c r="A16" s="27" t="s">
        <v>232</v>
      </c>
      <c r="B16" s="153"/>
      <c r="C16" s="503"/>
      <c r="D16" s="503"/>
      <c r="E16" s="178"/>
    </row>
    <row r="17" spans="1:17" ht="46.5" customHeight="1" x14ac:dyDescent="0.2">
      <c r="A17" s="27" t="s">
        <v>233</v>
      </c>
      <c r="B17" s="153"/>
      <c r="C17" s="503"/>
      <c r="D17" s="503"/>
      <c r="E17" s="178"/>
    </row>
    <row r="18" spans="1:17" ht="21.75" customHeight="1" x14ac:dyDescent="0.2">
      <c r="A18" s="27" t="s">
        <v>234</v>
      </c>
      <c r="B18" s="153"/>
      <c r="C18" s="503"/>
      <c r="D18" s="503"/>
      <c r="E18" s="178"/>
    </row>
    <row r="19" spans="1:17" ht="30" customHeight="1" x14ac:dyDescent="0.2">
      <c r="A19" s="28" t="s">
        <v>235</v>
      </c>
      <c r="B19" s="154"/>
      <c r="C19" s="504"/>
      <c r="D19" s="504"/>
      <c r="E19" s="179"/>
    </row>
    <row r="20" spans="1:17" s="9" customFormat="1" x14ac:dyDescent="0.2"/>
    <row r="21" spans="1:17" s="9" customFormat="1" x14ac:dyDescent="0.2"/>
    <row r="22" spans="1:17" s="11" customFormat="1" ht="18" customHeight="1" x14ac:dyDescent="0.2">
      <c r="A22" s="13" t="s">
        <v>11</v>
      </c>
      <c r="B22" s="73"/>
      <c r="C22" s="9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11" customFormat="1" ht="18" customHeight="1" x14ac:dyDescent="0.2">
      <c r="A23" s="14" t="s">
        <v>12</v>
      </c>
      <c r="B23" s="614"/>
      <c r="C23" s="9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s="11" customFormat="1" ht="18" customHeight="1" x14ac:dyDescent="0.2">
      <c r="A24" s="14" t="s">
        <v>13</v>
      </c>
      <c r="B24" s="614"/>
      <c r="C24" s="9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s="9" customFormat="1" x14ac:dyDescent="0.2">
      <c r="A25" s="15"/>
    </row>
    <row r="26" spans="1:17" s="9" customFormat="1" x14ac:dyDescent="0.2">
      <c r="A26" s="15"/>
    </row>
    <row r="27" spans="1:17" ht="17.25" customHeight="1" x14ac:dyDescent="0.2">
      <c r="A27" s="9"/>
      <c r="B27" s="9"/>
      <c r="C27" s="9"/>
      <c r="D27" s="9"/>
      <c r="E27" s="9"/>
    </row>
    <row r="28" spans="1:17" ht="17.25" customHeight="1" x14ac:dyDescent="0.2">
      <c r="A28" s="9"/>
      <c r="B28" s="9"/>
      <c r="C28" s="9"/>
      <c r="D28" s="9"/>
      <c r="E28" s="9"/>
    </row>
    <row r="29" spans="1:17" ht="6.75" customHeight="1" x14ac:dyDescent="0.2">
      <c r="A29" s="9"/>
      <c r="B29" s="9"/>
      <c r="C29" s="9"/>
      <c r="D29" s="9"/>
      <c r="E29" s="9"/>
    </row>
    <row r="30" spans="1:17" s="9" customFormat="1" x14ac:dyDescent="0.2"/>
    <row r="31" spans="1:17" s="9" customFormat="1" x14ac:dyDescent="0.2"/>
    <row r="32" spans="1:17" s="9" customFormat="1" x14ac:dyDescent="0.2"/>
    <row r="33" spans="1:5" s="9" customFormat="1" x14ac:dyDescent="0.2"/>
    <row r="34" spans="1:5" s="9" customFormat="1" x14ac:dyDescent="0.2"/>
    <row r="35" spans="1:5" s="9" customFormat="1" x14ac:dyDescent="0.2"/>
    <row r="36" spans="1:5" s="9" customFormat="1" x14ac:dyDescent="0.2"/>
    <row r="37" spans="1:5" s="9" customFormat="1" x14ac:dyDescent="0.2"/>
    <row r="38" spans="1:5" s="9" customFormat="1" x14ac:dyDescent="0.2"/>
    <row r="39" spans="1:5" s="9" customFormat="1" x14ac:dyDescent="0.2"/>
    <row r="40" spans="1:5" s="9" customFormat="1" x14ac:dyDescent="0.2"/>
    <row r="41" spans="1:5" s="9" customFormat="1" x14ac:dyDescent="0.2"/>
    <row r="42" spans="1:5" s="9" customFormat="1" x14ac:dyDescent="0.2"/>
    <row r="43" spans="1:5" s="9" customFormat="1" x14ac:dyDescent="0.2"/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16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72" t="s">
        <v>2</v>
      </c>
      <c r="B55" s="672">
        <f>Identification!E30</f>
        <v>0</v>
      </c>
      <c r="C55" s="673"/>
      <c r="D55" s="673"/>
      <c r="E55" s="673"/>
    </row>
    <row r="56" spans="1:5" x14ac:dyDescent="0.2">
      <c r="A56" s="72" t="s">
        <v>3</v>
      </c>
      <c r="B56" s="674">
        <f>Identification!E31</f>
        <v>0</v>
      </c>
      <c r="C56" s="675"/>
      <c r="D56" s="675"/>
      <c r="E56" s="675"/>
    </row>
    <row r="57" spans="1:5" x14ac:dyDescent="0.2">
      <c r="A57" s="71"/>
      <c r="B57" s="155"/>
      <c r="C57" s="155"/>
      <c r="D57" s="155"/>
      <c r="E57" s="155"/>
    </row>
    <row r="58" spans="1:5" x14ac:dyDescent="0.2">
      <c r="A58" s="72" t="s">
        <v>7</v>
      </c>
      <c r="B58" s="674">
        <f>Identification!E40</f>
        <v>0</v>
      </c>
      <c r="C58" s="675"/>
      <c r="D58" s="675"/>
      <c r="E58" s="675"/>
    </row>
    <row r="59" spans="1:5" x14ac:dyDescent="0.2">
      <c r="A59" s="72" t="s">
        <v>8</v>
      </c>
      <c r="B59" s="674">
        <f>Identification!E41</f>
        <v>0</v>
      </c>
      <c r="C59" s="675"/>
      <c r="D59" s="675"/>
      <c r="E59" s="675"/>
    </row>
    <row r="60" spans="1:5" x14ac:dyDescent="0.2">
      <c r="A60" s="9"/>
      <c r="B60" s="9"/>
      <c r="C60" s="9"/>
      <c r="D60" s="9"/>
      <c r="E60" s="9"/>
    </row>
  </sheetData>
  <sheetProtection password="B19B" sheet="1" selectLockedCells="1"/>
  <mergeCells count="7">
    <mergeCell ref="A1:E1"/>
    <mergeCell ref="B55:E55"/>
    <mergeCell ref="B56:E56"/>
    <mergeCell ref="B58:E58"/>
    <mergeCell ref="B59:E59"/>
    <mergeCell ref="A10:E10"/>
    <mergeCell ref="A12:E12"/>
  </mergeCells>
  <conditionalFormatting sqref="B22">
    <cfRule type="cellIs" dxfId="18" priority="5" operator="equal">
      <formula>"Non"</formula>
    </cfRule>
  </conditionalFormatting>
  <conditionalFormatting sqref="B23">
    <cfRule type="expression" dxfId="17" priority="6">
      <formula>$B$22="Non"</formula>
    </cfRule>
  </conditionalFormatting>
  <conditionalFormatting sqref="B3:D9">
    <cfRule type="cellIs" dxfId="16" priority="1" operator="equal">
      <formula>"Sans objet"</formula>
    </cfRule>
    <cfRule type="cellIs" dxfId="15" priority="2" operator="equal">
      <formula>"Non"</formula>
    </cfRule>
  </conditionalFormatting>
  <conditionalFormatting sqref="B11:D11 B13:D19">
    <cfRule type="cellIs" dxfId="14" priority="3" operator="equal">
      <formula>"Sans objet"</formula>
    </cfRule>
    <cfRule type="cellIs" dxfId="13" priority="4" operator="equal">
      <formula>"Non"</formula>
    </cfRule>
  </conditionalFormatting>
  <dataValidations count="1">
    <dataValidation type="list" allowBlank="1" showInputMessage="1" showErrorMessage="1" sqref="B11:D11 B13:D19 B3:B9 C6:D9">
      <formula1>"Oui,Non,Sans objet"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53" orientation="portrait" r:id="rId1"/>
  <headerFooter>
    <oddFooter>&amp;RPage 2/7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P92"/>
  <sheetViews>
    <sheetView zoomScaleNormal="100" zoomScalePageLayoutView="25" workbookViewId="0">
      <selection activeCell="B2" sqref="B2"/>
    </sheetView>
  </sheetViews>
  <sheetFormatPr baseColWidth="10" defaultColWidth="11.42578125" defaultRowHeight="12.75" x14ac:dyDescent="0.2"/>
  <cols>
    <col min="1" max="1" width="72.28515625" style="10" customWidth="1"/>
    <col min="2" max="3" width="18.42578125" style="10" customWidth="1"/>
    <col min="4" max="4" width="41.28515625" style="10" customWidth="1"/>
    <col min="5" max="16" width="11.42578125" style="9"/>
    <col min="17" max="16384" width="11.42578125" style="10"/>
  </cols>
  <sheetData>
    <row r="1" spans="1:4" s="9" customFormat="1" ht="21.75" customHeight="1" x14ac:dyDescent="0.2">
      <c r="A1" s="687" t="s">
        <v>29</v>
      </c>
      <c r="B1" s="688"/>
      <c r="C1" s="688"/>
      <c r="D1" s="689"/>
    </row>
    <row r="2" spans="1:4" ht="38.25" customHeight="1" x14ac:dyDescent="0.2">
      <c r="A2" s="36" t="s">
        <v>15</v>
      </c>
      <c r="B2" s="34" t="s">
        <v>32</v>
      </c>
      <c r="C2" s="34" t="s">
        <v>33</v>
      </c>
      <c r="D2" s="35" t="s">
        <v>10</v>
      </c>
    </row>
    <row r="3" spans="1:4" ht="18" customHeight="1" x14ac:dyDescent="0.2">
      <c r="A3" s="26" t="s">
        <v>28</v>
      </c>
      <c r="B3" s="29">
        <f>'Pièces justificatives'!B3</f>
        <v>0</v>
      </c>
      <c r="C3" s="145"/>
      <c r="D3" s="23"/>
    </row>
    <row r="4" spans="1:4" ht="30" customHeight="1" x14ac:dyDescent="0.2">
      <c r="A4" s="27" t="s">
        <v>18</v>
      </c>
      <c r="B4" s="30" t="e">
        <f>'Pièces justificatives'!#REF!</f>
        <v>#REF!</v>
      </c>
      <c r="C4" s="146"/>
      <c r="D4" s="24"/>
    </row>
    <row r="5" spans="1:4" ht="48.75" customHeight="1" x14ac:dyDescent="0.2">
      <c r="A5" s="27" t="s">
        <v>19</v>
      </c>
      <c r="B5" s="30">
        <f>'Pièces justificatives'!B5</f>
        <v>0</v>
      </c>
      <c r="C5" s="146"/>
      <c r="D5" s="24"/>
    </row>
    <row r="6" spans="1:4" ht="60" customHeight="1" x14ac:dyDescent="0.2">
      <c r="A6" s="27" t="s">
        <v>26</v>
      </c>
      <c r="B6" s="30">
        <f>'Pièces justificatives'!B6</f>
        <v>0</v>
      </c>
      <c r="C6" s="146"/>
      <c r="D6" s="24"/>
    </row>
    <row r="7" spans="1:4" ht="75" customHeight="1" x14ac:dyDescent="0.2">
      <c r="A7" s="27" t="s">
        <v>27</v>
      </c>
      <c r="B7" s="30">
        <f>'Pièces justificatives'!B7</f>
        <v>0</v>
      </c>
      <c r="C7" s="146"/>
      <c r="D7" s="24"/>
    </row>
    <row r="8" spans="1:4" ht="21.75" customHeight="1" x14ac:dyDescent="0.2">
      <c r="A8" s="27" t="s">
        <v>20</v>
      </c>
      <c r="B8" s="30">
        <f>'Pièces justificatives'!B8</f>
        <v>0</v>
      </c>
      <c r="C8" s="146"/>
      <c r="D8" s="24"/>
    </row>
    <row r="9" spans="1:4" ht="21.75" customHeight="1" x14ac:dyDescent="0.2">
      <c r="A9" s="27" t="s">
        <v>21</v>
      </c>
      <c r="B9" s="30">
        <f>'Pièces justificatives'!B9</f>
        <v>0</v>
      </c>
      <c r="C9" s="146"/>
      <c r="D9" s="24"/>
    </row>
    <row r="10" spans="1:4" ht="46.5" customHeight="1" x14ac:dyDescent="0.2">
      <c r="A10" s="27" t="s">
        <v>22</v>
      </c>
      <c r="B10" s="30">
        <f>'Pièces justificatives'!B17</f>
        <v>0</v>
      </c>
      <c r="C10" s="146"/>
      <c r="D10" s="24"/>
    </row>
    <row r="11" spans="1:4" ht="21.75" customHeight="1" x14ac:dyDescent="0.2">
      <c r="A11" s="27" t="s">
        <v>23</v>
      </c>
      <c r="B11" s="30">
        <f>'Pièces justificatives'!B18</f>
        <v>0</v>
      </c>
      <c r="C11" s="146"/>
      <c r="D11" s="24"/>
    </row>
    <row r="12" spans="1:4" ht="30" customHeight="1" x14ac:dyDescent="0.2">
      <c r="A12" s="27" t="s">
        <v>24</v>
      </c>
      <c r="B12" s="30">
        <f>'Pièces justificatives'!B19</f>
        <v>0</v>
      </c>
      <c r="C12" s="146"/>
      <c r="D12" s="24"/>
    </row>
    <row r="13" spans="1:4" ht="21.75" customHeight="1" x14ac:dyDescent="0.2">
      <c r="A13" s="28" t="s">
        <v>25</v>
      </c>
      <c r="B13" s="31" t="e">
        <f>'Pièces justificatives'!#REF!</f>
        <v>#REF!</v>
      </c>
      <c r="C13" s="147"/>
      <c r="D13" s="25"/>
    </row>
    <row r="14" spans="1:4" s="9" customFormat="1" x14ac:dyDescent="0.2"/>
    <row r="15" spans="1:4" s="9" customFormat="1" x14ac:dyDescent="0.2"/>
    <row r="16" spans="1:4" s="9" customFormat="1" ht="21.75" customHeight="1" x14ac:dyDescent="0.2">
      <c r="A16" s="690" t="s">
        <v>30</v>
      </c>
      <c r="B16" s="691"/>
      <c r="C16" s="691"/>
      <c r="D16" s="692"/>
    </row>
    <row r="17" spans="1:4" ht="38.25" customHeight="1" x14ac:dyDescent="0.2">
      <c r="A17" s="683" t="s">
        <v>41</v>
      </c>
      <c r="B17" s="684"/>
      <c r="C17" s="34" t="s">
        <v>33</v>
      </c>
      <c r="D17" s="35" t="s">
        <v>10</v>
      </c>
    </row>
    <row r="18" spans="1:4" s="9" customFormat="1" ht="15" customHeight="1" x14ac:dyDescent="0.2">
      <c r="A18" s="693" t="s">
        <v>37</v>
      </c>
      <c r="B18" s="694"/>
      <c r="C18" s="148"/>
      <c r="D18" s="23"/>
    </row>
    <row r="19" spans="1:4" s="9" customFormat="1" ht="15" customHeight="1" x14ac:dyDescent="0.2">
      <c r="A19" s="695" t="s">
        <v>38</v>
      </c>
      <c r="B19" s="696"/>
      <c r="C19" s="149"/>
      <c r="D19" s="25"/>
    </row>
    <row r="20" spans="1:4" s="9" customFormat="1" x14ac:dyDescent="0.2"/>
    <row r="21" spans="1:4" s="9" customFormat="1" x14ac:dyDescent="0.2"/>
    <row r="22" spans="1:4" s="9" customFormat="1" ht="21.75" customHeight="1" x14ac:dyDescent="0.2">
      <c r="A22" s="690" t="s">
        <v>31</v>
      </c>
      <c r="B22" s="691"/>
      <c r="C22" s="691"/>
      <c r="D22" s="692"/>
    </row>
    <row r="23" spans="1:4" ht="38.25" customHeight="1" x14ac:dyDescent="0.2">
      <c r="A23" s="683" t="s">
        <v>15</v>
      </c>
      <c r="B23" s="684"/>
      <c r="C23" s="34" t="s">
        <v>33</v>
      </c>
      <c r="D23" s="35" t="s">
        <v>10</v>
      </c>
    </row>
    <row r="24" spans="1:4" s="9" customFormat="1" x14ac:dyDescent="0.2">
      <c r="A24" s="693" t="s">
        <v>39</v>
      </c>
      <c r="B24" s="694"/>
      <c r="C24" s="148"/>
      <c r="D24" s="23"/>
    </row>
    <row r="25" spans="1:4" s="9" customFormat="1" x14ac:dyDescent="0.2">
      <c r="A25" s="697" t="s">
        <v>51</v>
      </c>
      <c r="B25" s="698"/>
      <c r="C25" s="150"/>
      <c r="D25" s="24"/>
    </row>
    <row r="26" spans="1:4" s="9" customFormat="1" x14ac:dyDescent="0.2">
      <c r="A26" s="695"/>
      <c r="B26" s="696"/>
      <c r="C26" s="149"/>
      <c r="D26" s="25"/>
    </row>
    <row r="27" spans="1:4" s="9" customFormat="1" x14ac:dyDescent="0.2"/>
    <row r="28" spans="1:4" s="9" customFormat="1" x14ac:dyDescent="0.2"/>
    <row r="29" spans="1:4" s="9" customFormat="1" ht="21.75" customHeight="1" x14ac:dyDescent="0.2">
      <c r="A29" s="690" t="s">
        <v>34</v>
      </c>
      <c r="B29" s="691"/>
      <c r="C29" s="691"/>
      <c r="D29" s="692"/>
    </row>
    <row r="30" spans="1:4" ht="38.25" customHeight="1" x14ac:dyDescent="0.2">
      <c r="A30" s="683" t="s">
        <v>15</v>
      </c>
      <c r="B30" s="684" t="s">
        <v>32</v>
      </c>
      <c r="C30" s="34" t="s">
        <v>33</v>
      </c>
      <c r="D30" s="35" t="s">
        <v>10</v>
      </c>
    </row>
    <row r="31" spans="1:4" s="9" customFormat="1" x14ac:dyDescent="0.2">
      <c r="A31" s="685" t="s">
        <v>40</v>
      </c>
      <c r="B31" s="686"/>
      <c r="C31" s="151"/>
      <c r="D31" s="33"/>
    </row>
    <row r="32" spans="1:4" s="9" customFormat="1" x14ac:dyDescent="0.2"/>
    <row r="33" spans="1:16" s="9" customFormat="1" x14ac:dyDescent="0.2"/>
    <row r="34" spans="1:16" s="11" customFormat="1" ht="18" customHeight="1" x14ac:dyDescent="0.25">
      <c r="A34" s="679" t="s">
        <v>42</v>
      </c>
      <c r="B34" s="680"/>
      <c r="C34" s="73" t="str">
        <f>IF(COUNTIF(C3:C31,"Non")&gt;=1,"Non","Oui")</f>
        <v>Oui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1" customFormat="1" ht="18" customHeight="1" x14ac:dyDescent="0.25">
      <c r="A35" s="681" t="s">
        <v>35</v>
      </c>
      <c r="B35" s="682"/>
      <c r="C35" s="15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9" customFormat="1" x14ac:dyDescent="0.2">
      <c r="A36" s="17"/>
      <c r="C36" s="15"/>
    </row>
    <row r="37" spans="1:16" s="9" customFormat="1" x14ac:dyDescent="0.2">
      <c r="A37" s="17"/>
      <c r="C37" s="15"/>
    </row>
    <row r="38" spans="1:16" s="9" customFormat="1" ht="17.25" customHeight="1" x14ac:dyDescent="0.2"/>
    <row r="39" spans="1:16" s="9" customFormat="1" ht="17.25" customHeight="1" x14ac:dyDescent="0.2"/>
    <row r="40" spans="1:16" s="9" customFormat="1" ht="6.75" customHeight="1" x14ac:dyDescent="0.2"/>
    <row r="41" spans="1:16" s="9" customFormat="1" x14ac:dyDescent="0.2"/>
    <row r="42" spans="1:16" s="9" customFormat="1" x14ac:dyDescent="0.2"/>
    <row r="43" spans="1:16" s="9" customFormat="1" x14ac:dyDescent="0.2"/>
    <row r="44" spans="1:16" s="9" customFormat="1" x14ac:dyDescent="0.2"/>
    <row r="45" spans="1:16" s="9" customFormat="1" x14ac:dyDescent="0.2"/>
    <row r="46" spans="1:16" s="9" customFormat="1" x14ac:dyDescent="0.2"/>
    <row r="47" spans="1:16" s="9" customFormat="1" x14ac:dyDescent="0.2"/>
    <row r="48" spans="1:16" s="9" customFormat="1" x14ac:dyDescent="0.2"/>
    <row r="49" spans="1:4" s="9" customFormat="1" x14ac:dyDescent="0.2"/>
    <row r="50" spans="1:4" s="9" customFormat="1" x14ac:dyDescent="0.2"/>
    <row r="51" spans="1:4" s="9" customFormat="1" x14ac:dyDescent="0.2"/>
    <row r="52" spans="1:4" s="9" customFormat="1" x14ac:dyDescent="0.2"/>
    <row r="53" spans="1:4" s="9" customFormat="1" x14ac:dyDescent="0.2"/>
    <row r="54" spans="1:4" s="9" customFormat="1" x14ac:dyDescent="0.2"/>
    <row r="55" spans="1:4" s="9" customFormat="1" x14ac:dyDescent="0.2">
      <c r="D55" s="16"/>
    </row>
    <row r="56" spans="1:4" s="9" customFormat="1" x14ac:dyDescent="0.2"/>
    <row r="57" spans="1:4" s="9" customFormat="1" x14ac:dyDescent="0.2"/>
    <row r="58" spans="1:4" s="9" customFormat="1" x14ac:dyDescent="0.2"/>
    <row r="59" spans="1:4" s="9" customFormat="1" x14ac:dyDescent="0.2"/>
    <row r="60" spans="1:4" s="9" customFormat="1" x14ac:dyDescent="0.2"/>
    <row r="61" spans="1:4" s="9" customFormat="1" x14ac:dyDescent="0.2"/>
    <row r="62" spans="1:4" x14ac:dyDescent="0.2">
      <c r="A62" s="72" t="s">
        <v>2</v>
      </c>
      <c r="B62" s="672">
        <f>Identification!E30</f>
        <v>0</v>
      </c>
      <c r="C62" s="673"/>
      <c r="D62" s="9"/>
    </row>
    <row r="63" spans="1:4" x14ac:dyDescent="0.2">
      <c r="A63" s="72" t="s">
        <v>3</v>
      </c>
      <c r="B63" s="674">
        <f>Identification!E31</f>
        <v>0</v>
      </c>
      <c r="C63" s="675"/>
      <c r="D63" s="9"/>
    </row>
    <row r="64" spans="1:4" x14ac:dyDescent="0.2">
      <c r="A64" s="71"/>
      <c r="B64" s="155"/>
      <c r="C64" s="155"/>
      <c r="D64" s="9"/>
    </row>
    <row r="65" spans="1:4" x14ac:dyDescent="0.2">
      <c r="A65" s="72" t="s">
        <v>7</v>
      </c>
      <c r="B65" s="674">
        <f>Identification!E40</f>
        <v>0</v>
      </c>
      <c r="C65" s="675"/>
      <c r="D65" s="9"/>
    </row>
    <row r="66" spans="1:4" x14ac:dyDescent="0.2">
      <c r="A66" s="72" t="s">
        <v>8</v>
      </c>
      <c r="B66" s="674">
        <f>Identification!E41</f>
        <v>0</v>
      </c>
      <c r="C66" s="675"/>
      <c r="D66" s="9"/>
    </row>
    <row r="67" spans="1:4" s="9" customFormat="1" x14ac:dyDescent="0.2"/>
    <row r="68" spans="1:4" s="9" customFormat="1" x14ac:dyDescent="0.2"/>
    <row r="69" spans="1:4" s="9" customFormat="1" x14ac:dyDescent="0.2"/>
    <row r="70" spans="1:4" s="9" customFormat="1" x14ac:dyDescent="0.2"/>
    <row r="71" spans="1:4" s="9" customFormat="1" x14ac:dyDescent="0.2"/>
    <row r="72" spans="1:4" s="9" customFormat="1" x14ac:dyDescent="0.2"/>
    <row r="73" spans="1:4" s="9" customFormat="1" x14ac:dyDescent="0.2"/>
    <row r="74" spans="1:4" s="9" customFormat="1" x14ac:dyDescent="0.2"/>
    <row r="75" spans="1:4" s="9" customFormat="1" x14ac:dyDescent="0.2"/>
    <row r="76" spans="1:4" s="9" customFormat="1" x14ac:dyDescent="0.2"/>
    <row r="77" spans="1:4" s="9" customFormat="1" x14ac:dyDescent="0.2"/>
    <row r="78" spans="1:4" s="9" customFormat="1" x14ac:dyDescent="0.2"/>
    <row r="79" spans="1:4" s="9" customFormat="1" x14ac:dyDescent="0.2"/>
    <row r="80" spans="1:4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</sheetData>
  <sheetProtection selectLockedCells="1"/>
  <mergeCells count="19">
    <mergeCell ref="A30:B30"/>
    <mergeCell ref="A31:B31"/>
    <mergeCell ref="A1:D1"/>
    <mergeCell ref="A16:D16"/>
    <mergeCell ref="A22:D22"/>
    <mergeCell ref="A29:D29"/>
    <mergeCell ref="A17:B17"/>
    <mergeCell ref="A18:B18"/>
    <mergeCell ref="A19:B19"/>
    <mergeCell ref="A23:B23"/>
    <mergeCell ref="A24:B24"/>
    <mergeCell ref="A25:B25"/>
    <mergeCell ref="A26:B26"/>
    <mergeCell ref="A34:B34"/>
    <mergeCell ref="B62:C62"/>
    <mergeCell ref="B63:C63"/>
    <mergeCell ref="B65:C65"/>
    <mergeCell ref="B66:C66"/>
    <mergeCell ref="A35:B35"/>
  </mergeCells>
  <conditionalFormatting sqref="B3:B13">
    <cfRule type="cellIs" dxfId="12" priority="19" operator="equal">
      <formula>"Sans objet"</formula>
    </cfRule>
  </conditionalFormatting>
  <conditionalFormatting sqref="B3:C13">
    <cfRule type="cellIs" dxfId="11" priority="14" operator="equal">
      <formula>"Non"</formula>
    </cfRule>
  </conditionalFormatting>
  <conditionalFormatting sqref="C3:C13">
    <cfRule type="expression" dxfId="10" priority="12">
      <formula>B3="Oui"</formula>
    </cfRule>
  </conditionalFormatting>
  <conditionalFormatting sqref="C18:C19">
    <cfRule type="expression" dxfId="9" priority="7">
      <formula>B18="Oui"</formula>
    </cfRule>
    <cfRule type="cellIs" dxfId="8" priority="8" operator="equal">
      <formula>"Non"</formula>
    </cfRule>
  </conditionalFormatting>
  <conditionalFormatting sqref="C24:C26">
    <cfRule type="expression" dxfId="7" priority="3">
      <formula>B24="Oui"</formula>
    </cfRule>
    <cfRule type="cellIs" dxfId="6" priority="4" operator="equal">
      <formula>"Non"</formula>
    </cfRule>
  </conditionalFormatting>
  <conditionalFormatting sqref="C31">
    <cfRule type="expression" dxfId="5" priority="1">
      <formula>B31="Oui"</formula>
    </cfRule>
    <cfRule type="cellIs" dxfId="4" priority="2" operator="equal">
      <formula>"Non"</formula>
    </cfRule>
  </conditionalFormatting>
  <conditionalFormatting sqref="C34">
    <cfRule type="cellIs" dxfId="3" priority="21" operator="equal">
      <formula>"Non"</formula>
    </cfRule>
  </conditionalFormatting>
  <dataValidations count="2">
    <dataValidation type="list" allowBlank="1" showInputMessage="1" showErrorMessage="1" sqref="B3:B13">
      <formula1>"Oui,Non,Sans objet"</formula1>
    </dataValidation>
    <dataValidation type="list" allowBlank="1" showInputMessage="1" showErrorMessage="1" sqref="C3:C13 C18:C19 C24:C26 C31">
      <formula1>"Oui,Non"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headerFooter>
    <oddFooter>&amp;RPage 3/7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T69"/>
  <sheetViews>
    <sheetView topLeftCell="B1" zoomScaleNormal="100" workbookViewId="0">
      <pane ySplit="1" topLeftCell="A2" activePane="bottomLeft" state="frozen"/>
      <selection pane="bottomLeft" activeCell="B16" sqref="B16"/>
    </sheetView>
  </sheetViews>
  <sheetFormatPr baseColWidth="10" defaultRowHeight="15" x14ac:dyDescent="0.25"/>
  <cols>
    <col min="1" max="1" width="15" style="18" hidden="1" customWidth="1"/>
    <col min="2" max="2" width="51.140625" style="185" customWidth="1"/>
    <col min="3" max="3" width="23" style="185" customWidth="1"/>
    <col min="4" max="4" width="33.42578125" style="185" customWidth="1"/>
    <col min="5" max="5" width="18.28515625" style="189" customWidth="1"/>
    <col min="6" max="8" width="18.28515625" style="185" customWidth="1"/>
    <col min="9" max="9" width="9.5703125" style="18" customWidth="1"/>
    <col min="10" max="10" width="11.42578125" style="243"/>
    <col min="11" max="11" width="12.5703125" style="187" customWidth="1"/>
    <col min="12" max="20" width="11.42578125" style="18"/>
    <col min="21" max="16384" width="11.42578125" style="185"/>
  </cols>
  <sheetData>
    <row r="1" spans="1:20" ht="15.75" x14ac:dyDescent="0.25">
      <c r="A1" s="186"/>
      <c r="B1" s="214" t="s">
        <v>104</v>
      </c>
      <c r="C1" s="215"/>
      <c r="D1" s="215"/>
      <c r="E1" s="215"/>
      <c r="F1" s="215"/>
      <c r="G1" s="18"/>
      <c r="H1" s="18"/>
      <c r="K1" s="244"/>
      <c r="L1" s="186"/>
    </row>
    <row r="2" spans="1:20" s="18" customFormat="1" ht="12.75" x14ac:dyDescent="0.2">
      <c r="E2" s="187"/>
      <c r="J2" s="187"/>
      <c r="K2" s="187"/>
    </row>
    <row r="3" spans="1:20" s="18" customFormat="1" ht="15.75" x14ac:dyDescent="0.25">
      <c r="B3" s="229" t="s">
        <v>176</v>
      </c>
      <c r="E3" s="187"/>
      <c r="J3" s="187"/>
      <c r="K3" s="187"/>
    </row>
    <row r="4" spans="1:20" s="18" customFormat="1" ht="51" x14ac:dyDescent="0.2">
      <c r="B4" s="216" t="s">
        <v>160</v>
      </c>
      <c r="C4" s="216" t="s">
        <v>97</v>
      </c>
      <c r="D4" s="217" t="s">
        <v>161</v>
      </c>
      <c r="E4" s="218" t="s">
        <v>121</v>
      </c>
      <c r="F4" s="219" t="s">
        <v>146</v>
      </c>
      <c r="J4" s="245" t="s">
        <v>107</v>
      </c>
      <c r="K4" s="245" t="s">
        <v>165</v>
      </c>
    </row>
    <row r="5" spans="1:20" s="18" customFormat="1" ht="12.75" x14ac:dyDescent="0.2">
      <c r="A5" s="18" t="str">
        <f>IF(OR(D5="Opérateur",D5="Partenaire"),"Structure"&amp;J5,IF(OR(D5="Prestataire",D5="Fournisseur"),"Presta"&amp;K5,0))</f>
        <v>Structure1</v>
      </c>
      <c r="B5" s="191"/>
      <c r="C5" s="220">
        <v>1</v>
      </c>
      <c r="D5" s="328" t="s">
        <v>145</v>
      </c>
      <c r="E5" s="223"/>
      <c r="F5" s="224"/>
      <c r="J5" s="245">
        <f>IF(OR(D5="Opérateur",D5="Partenaire"),1,0)</f>
        <v>1</v>
      </c>
      <c r="K5" s="245">
        <f>IF(OR(D5="Prestataire",D5="Fournisseur"),1,0)</f>
        <v>0</v>
      </c>
    </row>
    <row r="6" spans="1:20" s="18" customFormat="1" ht="12.75" x14ac:dyDescent="0.2">
      <c r="A6" s="18">
        <f t="shared" ref="A6:A12" si="0">IF(OR(D6="Opérateur",D6="Partenaire"),"Structure"&amp;J6,IF(OR(D6="Prestataire",D6="Fournisseur"),"Presta"&amp;K6,0))</f>
        <v>0</v>
      </c>
      <c r="B6" s="193"/>
      <c r="C6" s="221">
        <v>2</v>
      </c>
      <c r="D6" s="233"/>
      <c r="E6" s="225"/>
      <c r="F6" s="226"/>
      <c r="G6" s="602"/>
      <c r="J6" s="245">
        <f>IF(OR(D6="Opérateur",D6="Partenaire"),1+MAX($J$4:J5),0)</f>
        <v>0</v>
      </c>
      <c r="K6" s="245">
        <f>IF(OR(D6="Prestataire",D6="Fournisseur"),1+MAX($K$4:K5),0)</f>
        <v>0</v>
      </c>
    </row>
    <row r="7" spans="1:20" s="18" customFormat="1" ht="12.75" x14ac:dyDescent="0.2">
      <c r="A7" s="18">
        <f t="shared" si="0"/>
        <v>0</v>
      </c>
      <c r="B7" s="193"/>
      <c r="C7" s="221">
        <v>3</v>
      </c>
      <c r="D7" s="233"/>
      <c r="E7" s="225"/>
      <c r="F7" s="226"/>
      <c r="G7" s="602"/>
      <c r="J7" s="245">
        <f>IF(OR(D7="Opérateur",D7="Partenaire"),1+MAX($J$4:J6),0)</f>
        <v>0</v>
      </c>
      <c r="K7" s="245">
        <f>IF(OR(D7="Prestataire",D7="Fournisseur"),1+MAX($K$4:K6),0)</f>
        <v>0</v>
      </c>
    </row>
    <row r="8" spans="1:20" s="18" customFormat="1" ht="12.75" x14ac:dyDescent="0.2">
      <c r="A8" s="18">
        <f t="shared" si="0"/>
        <v>0</v>
      </c>
      <c r="B8" s="193"/>
      <c r="C8" s="221">
        <v>4</v>
      </c>
      <c r="D8" s="233"/>
      <c r="E8" s="225"/>
      <c r="F8" s="226"/>
      <c r="J8" s="245">
        <f>IF(OR(D8="Opérateur",D8="Partenaire"),1+MAX($J$4:J7),0)</f>
        <v>0</v>
      </c>
      <c r="K8" s="245">
        <f>IF(OR(D8="Prestataire",D8="Fournisseur"),1+MAX($K$4:K7),0)</f>
        <v>0</v>
      </c>
    </row>
    <row r="9" spans="1:20" s="18" customFormat="1" ht="12.75" x14ac:dyDescent="0.2">
      <c r="A9" s="18">
        <f t="shared" si="0"/>
        <v>0</v>
      </c>
      <c r="B9" s="193"/>
      <c r="C9" s="221">
        <v>5</v>
      </c>
      <c r="D9" s="233"/>
      <c r="E9" s="225"/>
      <c r="F9" s="226"/>
      <c r="J9" s="245">
        <f>IF(OR(D9="Opérateur",D9="Partenaire"),1+MAX($J$4:J8),0)</f>
        <v>0</v>
      </c>
      <c r="K9" s="245">
        <f>IF(OR(D9="Prestataire",D9="Fournisseur"),1+MAX($K$4:K8),0)</f>
        <v>0</v>
      </c>
    </row>
    <row r="10" spans="1:20" s="18" customFormat="1" ht="12.75" x14ac:dyDescent="0.2">
      <c r="A10" s="18">
        <f t="shared" si="0"/>
        <v>0</v>
      </c>
      <c r="B10" s="193"/>
      <c r="C10" s="221">
        <v>6</v>
      </c>
      <c r="D10" s="233"/>
      <c r="E10" s="225"/>
      <c r="F10" s="226"/>
      <c r="J10" s="245">
        <f>IF(OR(D10="Opérateur",D10="Partenaire"),1+MAX($J$4:J9),0)</f>
        <v>0</v>
      </c>
      <c r="K10" s="245">
        <f>IF(OR(D10="Prestataire",D10="Fournisseur"),1+MAX($K$4:K9),0)</f>
        <v>0</v>
      </c>
    </row>
    <row r="11" spans="1:20" s="18" customFormat="1" ht="12.75" x14ac:dyDescent="0.2">
      <c r="A11" s="18">
        <f t="shared" si="0"/>
        <v>0</v>
      </c>
      <c r="B11" s="193"/>
      <c r="C11" s="221">
        <v>7</v>
      </c>
      <c r="D11" s="233"/>
      <c r="E11" s="225"/>
      <c r="F11" s="226"/>
      <c r="J11" s="245">
        <f>IF(OR(D11="Opérateur",D11="Partenaire"),1+MAX($J$4:J10),0)</f>
        <v>0</v>
      </c>
      <c r="K11" s="245">
        <f>IF(OR(D11="Prestataire",D11="Fournisseur"),1+MAX($K$4:K10),0)</f>
        <v>0</v>
      </c>
    </row>
    <row r="12" spans="1:20" s="18" customFormat="1" ht="12.75" x14ac:dyDescent="0.2">
      <c r="A12" s="18">
        <f t="shared" si="0"/>
        <v>0</v>
      </c>
      <c r="B12" s="195"/>
      <c r="C12" s="222">
        <v>8</v>
      </c>
      <c r="D12" s="234"/>
      <c r="E12" s="227"/>
      <c r="F12" s="228"/>
      <c r="J12" s="245">
        <f>IF(OR(D12="Opérateur",D12="Partenaire"),1+MAX($J$4:J11),0)</f>
        <v>0</v>
      </c>
      <c r="K12" s="245">
        <f>IF(OR(D12="Prestataire",D12="Fournisseur"),1+MAX($K$4:K11),0)</f>
        <v>0</v>
      </c>
    </row>
    <row r="13" spans="1:20" s="18" customFormat="1" ht="12.75" x14ac:dyDescent="0.2">
      <c r="E13" s="187"/>
      <c r="J13" s="187"/>
      <c r="K13" s="187"/>
    </row>
    <row r="14" spans="1:20" s="18" customFormat="1" ht="15.75" x14ac:dyDescent="0.25">
      <c r="B14" s="229" t="s">
        <v>177</v>
      </c>
      <c r="E14" s="187"/>
      <c r="J14" s="187"/>
      <c r="K14" s="187"/>
    </row>
    <row r="15" spans="1:20" ht="38.25" x14ac:dyDescent="0.25">
      <c r="B15" s="97" t="s">
        <v>107</v>
      </c>
      <c r="C15" s="97" t="s">
        <v>56</v>
      </c>
      <c r="D15" s="98" t="s">
        <v>82</v>
      </c>
      <c r="E15" s="98" t="s">
        <v>88</v>
      </c>
      <c r="F15" s="99" t="s">
        <v>89</v>
      </c>
      <c r="G15" s="18"/>
      <c r="H15" s="18"/>
      <c r="I15" s="157"/>
      <c r="J15" s="187"/>
      <c r="T15" s="185"/>
    </row>
    <row r="16" spans="1:20" x14ac:dyDescent="0.25">
      <c r="A16" s="18" t="str">
        <f>B16&amp;1</f>
        <v>1</v>
      </c>
      <c r="B16" s="190"/>
      <c r="C16" s="180"/>
      <c r="D16" s="182"/>
      <c r="E16" s="181"/>
      <c r="F16" s="230">
        <f>IF(OR(D16="",E16=""),0,MIN(VLOOKUP(D16,Référentiel!$B$2:$C$5,2,FALSE),E16))</f>
        <v>0</v>
      </c>
      <c r="G16" s="18"/>
      <c r="H16" s="18"/>
      <c r="I16" s="157"/>
      <c r="J16" s="187"/>
      <c r="T16" s="185"/>
    </row>
    <row r="17" spans="1:20" x14ac:dyDescent="0.25">
      <c r="A17" s="18" t="str">
        <f>B17&amp;COUNTIF($B$16:B16,B17)+1</f>
        <v>1</v>
      </c>
      <c r="B17" s="192"/>
      <c r="C17" s="124"/>
      <c r="D17" s="183"/>
      <c r="E17" s="143"/>
      <c r="F17" s="231">
        <f>IF(OR(D17="",E17=""),0,MIN(VLOOKUP(D17,Référentiel!$B$2:$C$5,2,FALSE),E17))</f>
        <v>0</v>
      </c>
      <c r="G17" s="18"/>
      <c r="H17" s="18"/>
      <c r="I17" s="157"/>
      <c r="J17" s="187"/>
      <c r="T17" s="185"/>
    </row>
    <row r="18" spans="1:20" x14ac:dyDescent="0.25">
      <c r="A18" s="18" t="str">
        <f>B18&amp;COUNTIF($B$16:B17,B18)+1</f>
        <v>1</v>
      </c>
      <c r="B18" s="192"/>
      <c r="C18" s="124"/>
      <c r="D18" s="183"/>
      <c r="E18" s="143"/>
      <c r="F18" s="231">
        <f>IF(OR(D18="",E18=""),0,MIN(VLOOKUP(D18,Référentiel!$B$2:$C$5,2,FALSE),E18))</f>
        <v>0</v>
      </c>
      <c r="G18" s="18"/>
      <c r="H18" s="18"/>
      <c r="I18" s="157"/>
      <c r="J18" s="187"/>
      <c r="T18" s="185"/>
    </row>
    <row r="19" spans="1:20" x14ac:dyDescent="0.25">
      <c r="A19" s="18" t="str">
        <f>B19&amp;COUNTIF($B$16:B18,B19)+1</f>
        <v>1</v>
      </c>
      <c r="B19" s="192"/>
      <c r="C19" s="124"/>
      <c r="D19" s="183"/>
      <c r="E19" s="143"/>
      <c r="F19" s="231">
        <f>IF(OR(D19="",E19=""),0,MIN(VLOOKUP(D19,Référentiel!$B$2:$C$5,2,FALSE),E19))</f>
        <v>0</v>
      </c>
      <c r="G19" s="18"/>
      <c r="H19" s="18"/>
      <c r="I19" s="157"/>
      <c r="J19" s="187"/>
      <c r="T19" s="185"/>
    </row>
    <row r="20" spans="1:20" x14ac:dyDescent="0.25">
      <c r="A20" s="18" t="str">
        <f>B20&amp;COUNTIF($B$16:B19,B20)+1</f>
        <v>1</v>
      </c>
      <c r="B20" s="192"/>
      <c r="C20" s="124"/>
      <c r="D20" s="183"/>
      <c r="E20" s="143"/>
      <c r="F20" s="231">
        <f>IF(OR(D20="",E20=""),0,MIN(VLOOKUP(D20,Référentiel!$B$2:$C$5,2,FALSE),E20))</f>
        <v>0</v>
      </c>
      <c r="G20" s="18"/>
      <c r="H20" s="18"/>
      <c r="I20" s="157"/>
      <c r="J20" s="187"/>
      <c r="T20" s="185"/>
    </row>
    <row r="21" spans="1:20" x14ac:dyDescent="0.25">
      <c r="A21" s="18" t="str">
        <f>B21&amp;COUNTIF($B$16:B20,B21)+1</f>
        <v>1</v>
      </c>
      <c r="B21" s="192"/>
      <c r="C21" s="124"/>
      <c r="D21" s="183"/>
      <c r="E21" s="143"/>
      <c r="F21" s="231">
        <f>IF(OR(D21="",E21=""),0,MIN(VLOOKUP(D21,Référentiel!$B$2:$C$5,2,FALSE),E21))</f>
        <v>0</v>
      </c>
      <c r="G21" s="18"/>
      <c r="H21" s="18"/>
      <c r="I21" s="157"/>
      <c r="J21" s="187"/>
      <c r="T21" s="185"/>
    </row>
    <row r="22" spans="1:20" x14ac:dyDescent="0.25">
      <c r="A22" s="18" t="str">
        <f>B22&amp;COUNTIF($B$16:B21,B22)+1</f>
        <v>1</v>
      </c>
      <c r="B22" s="192"/>
      <c r="C22" s="124"/>
      <c r="D22" s="183"/>
      <c r="E22" s="143"/>
      <c r="F22" s="231">
        <f>IF(OR(D22="",E22=""),0,MIN(VLOOKUP(D22,Référentiel!$B$2:$C$5,2,FALSE),E22))</f>
        <v>0</v>
      </c>
      <c r="G22" s="18"/>
      <c r="H22" s="18"/>
      <c r="I22" s="157"/>
      <c r="J22" s="187"/>
      <c r="T22" s="185"/>
    </row>
    <row r="23" spans="1:20" x14ac:dyDescent="0.25">
      <c r="A23" s="18" t="str">
        <f>B23&amp;COUNTIF($B$16:B22,B23)+1</f>
        <v>1</v>
      </c>
      <c r="B23" s="192"/>
      <c r="C23" s="124"/>
      <c r="D23" s="183"/>
      <c r="E23" s="143"/>
      <c r="F23" s="231">
        <f>IF(OR(D23="",E23=""),0,MIN(VLOOKUP(D23,Référentiel!$B$2:$C$5,2,FALSE),E23))</f>
        <v>0</v>
      </c>
      <c r="G23" s="18"/>
      <c r="H23" s="18"/>
      <c r="I23" s="157"/>
      <c r="J23" s="187"/>
      <c r="T23" s="185"/>
    </row>
    <row r="24" spans="1:20" x14ac:dyDescent="0.25">
      <c r="A24" s="18" t="str">
        <f>B24&amp;COUNTIF($B$16:B23,B24)+1</f>
        <v>1</v>
      </c>
      <c r="B24" s="192"/>
      <c r="C24" s="124"/>
      <c r="D24" s="183"/>
      <c r="E24" s="143"/>
      <c r="F24" s="231">
        <f>IF(OR(D24="",E24=""),0,MIN(VLOOKUP(D24,Référentiel!$B$2:$C$5,2,FALSE),E24))</f>
        <v>0</v>
      </c>
      <c r="G24" s="18"/>
      <c r="H24" s="18"/>
      <c r="I24" s="157"/>
      <c r="J24" s="187"/>
      <c r="T24" s="185"/>
    </row>
    <row r="25" spans="1:20" x14ac:dyDescent="0.25">
      <c r="A25" s="18" t="str">
        <f>B25&amp;COUNTIF($B$16:B24,B25)+1</f>
        <v>1</v>
      </c>
      <c r="B25" s="192"/>
      <c r="C25" s="124"/>
      <c r="D25" s="183"/>
      <c r="E25" s="143"/>
      <c r="F25" s="231">
        <f>IF(OR(D25="",E25=""),0,MIN(VLOOKUP(D25,Référentiel!$B$2:$C$5,2,FALSE),E25))</f>
        <v>0</v>
      </c>
      <c r="G25" s="18"/>
      <c r="H25" s="18"/>
      <c r="I25" s="157"/>
      <c r="J25" s="187"/>
      <c r="T25" s="185"/>
    </row>
    <row r="26" spans="1:20" x14ac:dyDescent="0.25">
      <c r="A26" s="18" t="str">
        <f>B26&amp;COUNTIF($B$16:B25,B26)+1</f>
        <v>1</v>
      </c>
      <c r="B26" s="192"/>
      <c r="C26" s="124"/>
      <c r="D26" s="183"/>
      <c r="E26" s="143"/>
      <c r="F26" s="231">
        <f>IF(OR(D26="",E26=""),0,MIN(VLOOKUP(D26,Référentiel!$B$2:$C$5,2,FALSE),E26))</f>
        <v>0</v>
      </c>
      <c r="G26" s="18"/>
      <c r="H26" s="18"/>
      <c r="I26" s="157"/>
      <c r="J26" s="187"/>
      <c r="T26" s="185"/>
    </row>
    <row r="27" spans="1:20" x14ac:dyDescent="0.25">
      <c r="A27" s="18" t="str">
        <f>B27&amp;COUNTIF($B$16:B26,B27)+1</f>
        <v>1</v>
      </c>
      <c r="B27" s="192"/>
      <c r="C27" s="124"/>
      <c r="D27" s="183"/>
      <c r="E27" s="143"/>
      <c r="F27" s="231">
        <f>IF(OR(D27="",E27=""),0,MIN(VLOOKUP(D27,Référentiel!$B$2:$C$5,2,FALSE),E27))</f>
        <v>0</v>
      </c>
      <c r="G27" s="18"/>
      <c r="H27" s="18"/>
      <c r="I27" s="157"/>
      <c r="J27" s="187"/>
      <c r="T27" s="185"/>
    </row>
    <row r="28" spans="1:20" x14ac:dyDescent="0.25">
      <c r="A28" s="18" t="str">
        <f>B28&amp;COUNTIF($B$16:B27,B28)+1</f>
        <v>1</v>
      </c>
      <c r="B28" s="192"/>
      <c r="C28" s="124"/>
      <c r="D28" s="183"/>
      <c r="E28" s="143"/>
      <c r="F28" s="231">
        <f>IF(OR(D28="",E28=""),0,MIN(VLOOKUP(D28,Référentiel!$B$2:$C$5,2,FALSE),E28))</f>
        <v>0</v>
      </c>
      <c r="G28" s="18"/>
      <c r="H28" s="18"/>
      <c r="I28" s="157"/>
      <c r="J28" s="187"/>
      <c r="T28" s="185"/>
    </row>
    <row r="29" spans="1:20" x14ac:dyDescent="0.25">
      <c r="A29" s="18" t="str">
        <f>B29&amp;COUNTIF($B$16:B28,B29)+1</f>
        <v>1</v>
      </c>
      <c r="B29" s="192"/>
      <c r="C29" s="124"/>
      <c r="D29" s="183"/>
      <c r="E29" s="143"/>
      <c r="F29" s="231">
        <f>IF(OR(D29="",E29=""),0,MIN(VLOOKUP(D29,Référentiel!$B$2:$C$5,2,FALSE),E29))</f>
        <v>0</v>
      </c>
      <c r="G29" s="18"/>
      <c r="H29" s="18"/>
      <c r="I29" s="157"/>
      <c r="J29" s="187"/>
      <c r="T29" s="185"/>
    </row>
    <row r="30" spans="1:20" x14ac:dyDescent="0.25">
      <c r="A30" s="18" t="str">
        <f>B30&amp;COUNTIF($B$16:B29,B30)+1</f>
        <v>1</v>
      </c>
      <c r="B30" s="192"/>
      <c r="C30" s="124"/>
      <c r="D30" s="183"/>
      <c r="E30" s="143"/>
      <c r="F30" s="231">
        <f>IF(OR(D30="",E30=""),0,MIN(VLOOKUP(D30,Référentiel!$B$2:$C$5,2,FALSE),E30))</f>
        <v>0</v>
      </c>
      <c r="G30" s="18"/>
      <c r="H30" s="18"/>
      <c r="I30" s="157"/>
      <c r="J30" s="187"/>
      <c r="T30" s="185"/>
    </row>
    <row r="31" spans="1:20" x14ac:dyDescent="0.25">
      <c r="A31" s="18" t="str">
        <f>B31&amp;COUNTIF($B$16:B30,B31)+1</f>
        <v>1</v>
      </c>
      <c r="B31" s="192"/>
      <c r="C31" s="124"/>
      <c r="D31" s="183"/>
      <c r="E31" s="143"/>
      <c r="F31" s="231">
        <f>IF(OR(D31="",E31=""),0,MIN(VLOOKUP(D31,Référentiel!$B$2:$C$5,2,FALSE),E31))</f>
        <v>0</v>
      </c>
      <c r="G31" s="18"/>
      <c r="H31" s="18"/>
      <c r="I31" s="157"/>
      <c r="J31" s="187"/>
      <c r="T31" s="185"/>
    </row>
    <row r="32" spans="1:20" x14ac:dyDescent="0.25">
      <c r="A32" s="18" t="str">
        <f>B32&amp;COUNTIF($B$16:B31,B32)+1</f>
        <v>1</v>
      </c>
      <c r="B32" s="192"/>
      <c r="C32" s="124"/>
      <c r="D32" s="183"/>
      <c r="E32" s="143"/>
      <c r="F32" s="231">
        <f>IF(OR(D32="",E32=""),0,MIN(VLOOKUP(D32,Référentiel!$B$2:$C$5,2,FALSE),E32))</f>
        <v>0</v>
      </c>
      <c r="G32" s="18"/>
      <c r="H32" s="18"/>
      <c r="I32" s="157"/>
      <c r="J32" s="187"/>
      <c r="T32" s="185"/>
    </row>
    <row r="33" spans="1:20" x14ac:dyDescent="0.25">
      <c r="A33" s="18" t="str">
        <f>B33&amp;COUNTIF($B$16:B32,B33)+1</f>
        <v>1</v>
      </c>
      <c r="B33" s="192"/>
      <c r="C33" s="124"/>
      <c r="D33" s="183"/>
      <c r="E33" s="143"/>
      <c r="F33" s="231">
        <f>IF(OR(D33="",E33=""),0,MIN(VLOOKUP(D33,Référentiel!$B$2:$C$5,2,FALSE),E33))</f>
        <v>0</v>
      </c>
      <c r="G33" s="18"/>
      <c r="H33" s="18"/>
      <c r="I33" s="157"/>
      <c r="J33" s="187"/>
      <c r="T33" s="185"/>
    </row>
    <row r="34" spans="1:20" x14ac:dyDescent="0.25">
      <c r="A34" s="18" t="str">
        <f>B34&amp;COUNTIF($B$16:B33,B34)+1</f>
        <v>1</v>
      </c>
      <c r="B34" s="192"/>
      <c r="C34" s="124"/>
      <c r="D34" s="183"/>
      <c r="E34" s="143"/>
      <c r="F34" s="231">
        <f>IF(OR(D34="",E34=""),0,MIN(VLOOKUP(D34,Référentiel!$B$2:$C$5,2,FALSE),E34))</f>
        <v>0</v>
      </c>
      <c r="G34" s="18"/>
      <c r="H34" s="18"/>
      <c r="I34" s="157"/>
      <c r="J34" s="187"/>
      <c r="T34" s="185"/>
    </row>
    <row r="35" spans="1:20" x14ac:dyDescent="0.25">
      <c r="A35" s="18" t="str">
        <f>B35&amp;COUNTIF($B$16:B34,B35)+1</f>
        <v>1</v>
      </c>
      <c r="B35" s="192"/>
      <c r="C35" s="124"/>
      <c r="D35" s="183"/>
      <c r="E35" s="143"/>
      <c r="F35" s="231">
        <f>IF(OR(D35="",E35=""),0,MIN(VLOOKUP(D35,Référentiel!$B$2:$C$5,2,FALSE),E35))</f>
        <v>0</v>
      </c>
      <c r="G35" s="18"/>
      <c r="H35" s="18"/>
      <c r="I35" s="157"/>
      <c r="J35" s="187"/>
      <c r="T35" s="185"/>
    </row>
    <row r="36" spans="1:20" x14ac:dyDescent="0.25">
      <c r="A36" s="18" t="str">
        <f>B36&amp;COUNTIF($B$16:B35,B36)+1</f>
        <v>1</v>
      </c>
      <c r="B36" s="192"/>
      <c r="C36" s="124"/>
      <c r="D36" s="183"/>
      <c r="E36" s="143"/>
      <c r="F36" s="231">
        <f>IF(OR(D36="",E36=""),0,MIN(VLOOKUP(D36,Référentiel!$B$2:$C$5,2,FALSE),E36))</f>
        <v>0</v>
      </c>
      <c r="G36" s="18"/>
      <c r="H36" s="18"/>
      <c r="I36" s="157"/>
      <c r="J36" s="187"/>
      <c r="T36" s="185"/>
    </row>
    <row r="37" spans="1:20" x14ac:dyDescent="0.25">
      <c r="A37" s="18" t="str">
        <f>B37&amp;COUNTIF($B$16:B36,B37)+1</f>
        <v>1</v>
      </c>
      <c r="B37" s="192"/>
      <c r="C37" s="124"/>
      <c r="D37" s="183"/>
      <c r="E37" s="143"/>
      <c r="F37" s="231">
        <f>IF(OR(D37="",E37=""),0,MIN(VLOOKUP(D37,Référentiel!$B$2:$C$5,2,FALSE),E37))</f>
        <v>0</v>
      </c>
      <c r="G37" s="18"/>
      <c r="H37" s="18"/>
      <c r="I37" s="157"/>
      <c r="J37" s="187"/>
      <c r="T37" s="185"/>
    </row>
    <row r="38" spans="1:20" x14ac:dyDescent="0.25">
      <c r="A38" s="18" t="str">
        <f>B38&amp;COUNTIF($B$16:B37,B38)+1</f>
        <v>1</v>
      </c>
      <c r="B38" s="192"/>
      <c r="C38" s="124"/>
      <c r="D38" s="183"/>
      <c r="E38" s="143"/>
      <c r="F38" s="231">
        <f>IF(OR(D38="",E38=""),0,MIN(VLOOKUP(D38,Référentiel!$B$2:$C$5,2,FALSE),E38))</f>
        <v>0</v>
      </c>
      <c r="G38" s="18"/>
      <c r="H38" s="18"/>
      <c r="I38" s="157"/>
      <c r="J38" s="187"/>
      <c r="T38" s="185"/>
    </row>
    <row r="39" spans="1:20" x14ac:dyDescent="0.25">
      <c r="A39" s="18" t="str">
        <f>B39&amp;COUNTIF($B$16:B38,B39)+1</f>
        <v>1</v>
      </c>
      <c r="B39" s="192"/>
      <c r="C39" s="124"/>
      <c r="D39" s="183"/>
      <c r="E39" s="143"/>
      <c r="F39" s="231">
        <f>IF(OR(D39="",E39=""),0,MIN(VLOOKUP(D39,Référentiel!$B$2:$C$5,2,FALSE),E39))</f>
        <v>0</v>
      </c>
      <c r="G39" s="18"/>
      <c r="H39" s="18"/>
      <c r="I39" s="157"/>
      <c r="J39" s="187"/>
      <c r="T39" s="185"/>
    </row>
    <row r="40" spans="1:20" x14ac:dyDescent="0.25">
      <c r="A40" s="18" t="str">
        <f>B40&amp;COUNTIF($B$16:B39,B40)+1</f>
        <v>1</v>
      </c>
      <c r="B40" s="192"/>
      <c r="C40" s="124"/>
      <c r="D40" s="183"/>
      <c r="E40" s="143"/>
      <c r="F40" s="231">
        <f>IF(OR(D40="",E40=""),0,MIN(VLOOKUP(D40,Référentiel!$B$2:$C$5,2,FALSE),E40))</f>
        <v>0</v>
      </c>
      <c r="G40" s="18"/>
      <c r="H40" s="18"/>
      <c r="I40" s="157"/>
      <c r="J40" s="187"/>
      <c r="T40" s="185"/>
    </row>
    <row r="41" spans="1:20" x14ac:dyDescent="0.25">
      <c r="A41" s="18" t="str">
        <f>B41&amp;COUNTIF($B$16:B40,B41)+1</f>
        <v>1</v>
      </c>
      <c r="B41" s="192"/>
      <c r="C41" s="124"/>
      <c r="D41" s="183"/>
      <c r="E41" s="143"/>
      <c r="F41" s="231">
        <f>IF(OR(D41="",E41=""),0,MIN(VLOOKUP(D41,Référentiel!$B$2:$C$5,2,FALSE),E41))</f>
        <v>0</v>
      </c>
      <c r="G41" s="18"/>
      <c r="H41" s="18"/>
      <c r="I41" s="157"/>
      <c r="J41" s="187"/>
      <c r="T41" s="185"/>
    </row>
    <row r="42" spans="1:20" x14ac:dyDescent="0.25">
      <c r="A42" s="18" t="str">
        <f>B42&amp;COUNTIF($B$16:B41,B42)+1</f>
        <v>1</v>
      </c>
      <c r="B42" s="192"/>
      <c r="C42" s="124"/>
      <c r="D42" s="183"/>
      <c r="E42" s="143"/>
      <c r="F42" s="231">
        <f>IF(OR(D42="",E42=""),0,MIN(VLOOKUP(D42,Référentiel!$B$2:$C$5,2,FALSE),E42))</f>
        <v>0</v>
      </c>
      <c r="G42" s="18"/>
      <c r="H42" s="18"/>
      <c r="I42" s="157"/>
      <c r="J42" s="187"/>
      <c r="T42" s="185"/>
    </row>
    <row r="43" spans="1:20" x14ac:dyDescent="0.25">
      <c r="A43" s="18" t="str">
        <f>B43&amp;COUNTIF($B$16:B42,B43)+1</f>
        <v>1</v>
      </c>
      <c r="B43" s="192"/>
      <c r="C43" s="124"/>
      <c r="D43" s="183"/>
      <c r="E43" s="143"/>
      <c r="F43" s="231">
        <f>IF(OR(D43="",E43=""),0,MIN(VLOOKUP(D43,Référentiel!$B$2:$C$5,2,FALSE),E43))</f>
        <v>0</v>
      </c>
      <c r="G43" s="18"/>
      <c r="H43" s="18"/>
      <c r="I43" s="157"/>
      <c r="J43" s="187"/>
      <c r="T43" s="185"/>
    </row>
    <row r="44" spans="1:20" x14ac:dyDescent="0.25">
      <c r="A44" s="18" t="str">
        <f>B44&amp;COUNTIF($B$16:B43,B44)+1</f>
        <v>1</v>
      </c>
      <c r="B44" s="194"/>
      <c r="C44" s="130"/>
      <c r="D44" s="184"/>
      <c r="E44" s="144"/>
      <c r="F44" s="232">
        <f>IF(OR(D44="",E44=""),0,MIN(VLOOKUP(D44,Référentiel!$B$2:$C$5,2,FALSE),E44))</f>
        <v>0</v>
      </c>
      <c r="G44" s="18"/>
      <c r="H44" s="18"/>
      <c r="I44" s="157"/>
      <c r="J44" s="187"/>
      <c r="T44" s="185"/>
    </row>
    <row r="45" spans="1:20" s="18" customFormat="1" ht="12.75" x14ac:dyDescent="0.2">
      <c r="E45" s="187"/>
      <c r="I45" s="188"/>
      <c r="J45" s="187"/>
      <c r="K45" s="187"/>
    </row>
    <row r="46" spans="1:20" s="18" customFormat="1" ht="18" customHeight="1" x14ac:dyDescent="0.2">
      <c r="B46" s="511"/>
      <c r="C46" s="512"/>
      <c r="D46" s="512"/>
      <c r="E46" s="512"/>
      <c r="F46" s="513"/>
      <c r="I46" s="188"/>
      <c r="J46" s="187"/>
      <c r="K46" s="187"/>
    </row>
    <row r="47" spans="1:20" s="18" customFormat="1" ht="18" customHeight="1" x14ac:dyDescent="0.2">
      <c r="B47" s="514" t="s">
        <v>237</v>
      </c>
      <c r="C47" s="9" t="s">
        <v>242</v>
      </c>
      <c r="F47" s="515"/>
      <c r="I47" s="188"/>
      <c r="J47" s="187"/>
      <c r="K47" s="187"/>
    </row>
    <row r="48" spans="1:20" s="18" customFormat="1" ht="18" customHeight="1" x14ac:dyDescent="0.2">
      <c r="B48" s="514" t="s">
        <v>239</v>
      </c>
      <c r="C48" s="9" t="s">
        <v>242</v>
      </c>
      <c r="E48" s="379"/>
      <c r="F48" s="515"/>
      <c r="I48" s="188"/>
      <c r="J48" s="187"/>
      <c r="K48" s="187"/>
    </row>
    <row r="49" spans="2:11" s="18" customFormat="1" ht="18" customHeight="1" x14ac:dyDescent="0.2">
      <c r="B49" s="514" t="s">
        <v>240</v>
      </c>
      <c r="C49" s="9" t="s">
        <v>242</v>
      </c>
      <c r="E49" s="381"/>
      <c r="F49" s="516"/>
      <c r="I49" s="188"/>
      <c r="J49" s="187"/>
      <c r="K49" s="187"/>
    </row>
    <row r="50" spans="2:11" s="18" customFormat="1" ht="18" customHeight="1" x14ac:dyDescent="0.2">
      <c r="B50" s="514" t="s">
        <v>241</v>
      </c>
      <c r="E50" s="521" t="s">
        <v>238</v>
      </c>
      <c r="F50" s="517"/>
      <c r="I50" s="188"/>
      <c r="J50" s="187"/>
      <c r="K50" s="187"/>
    </row>
    <row r="51" spans="2:11" s="18" customFormat="1" ht="12.75" x14ac:dyDescent="0.2">
      <c r="B51" s="514"/>
      <c r="E51" s="345"/>
      <c r="F51" s="517"/>
      <c r="I51" s="188"/>
      <c r="J51" s="187"/>
      <c r="K51" s="187"/>
    </row>
    <row r="52" spans="2:11" s="18" customFormat="1" ht="12.75" x14ac:dyDescent="0.2">
      <c r="B52" s="514"/>
      <c r="E52" s="345"/>
      <c r="F52" s="517"/>
      <c r="I52" s="188"/>
      <c r="J52" s="187"/>
      <c r="K52" s="187"/>
    </row>
    <row r="53" spans="2:11" s="18" customFormat="1" ht="12.75" x14ac:dyDescent="0.2">
      <c r="B53" s="514"/>
      <c r="E53" s="345"/>
      <c r="F53" s="517"/>
      <c r="I53" s="188"/>
      <c r="J53" s="187"/>
      <c r="K53" s="187"/>
    </row>
    <row r="54" spans="2:11" s="18" customFormat="1" ht="12.75" x14ac:dyDescent="0.2">
      <c r="B54" s="514"/>
      <c r="E54" s="345"/>
      <c r="F54" s="517"/>
      <c r="I54" s="188"/>
      <c r="J54" s="187"/>
      <c r="K54" s="187"/>
    </row>
    <row r="55" spans="2:11" s="18" customFormat="1" ht="12.75" x14ac:dyDescent="0.2">
      <c r="B55" s="518"/>
      <c r="C55" s="519"/>
      <c r="D55" s="519"/>
      <c r="E55" s="519"/>
      <c r="F55" s="520"/>
      <c r="I55" s="188"/>
      <c r="J55" s="187"/>
      <c r="K55" s="187"/>
    </row>
    <row r="56" spans="2:11" s="18" customFormat="1" ht="12.75" x14ac:dyDescent="0.2">
      <c r="B56" s="345"/>
      <c r="C56" s="345"/>
      <c r="D56" s="345"/>
      <c r="E56" s="345"/>
      <c r="F56" s="345"/>
      <c r="J56" s="187"/>
      <c r="K56" s="187"/>
    </row>
    <row r="57" spans="2:11" s="18" customFormat="1" ht="12.75" x14ac:dyDescent="0.2">
      <c r="E57" s="187"/>
      <c r="J57" s="187"/>
      <c r="K57" s="187"/>
    </row>
    <row r="58" spans="2:11" s="18" customFormat="1" ht="12.75" x14ac:dyDescent="0.2">
      <c r="B58" s="72" t="s">
        <v>2</v>
      </c>
      <c r="C58" s="510">
        <f>Identification!E30</f>
        <v>0</v>
      </c>
      <c r="J58" s="187"/>
      <c r="K58" s="187"/>
    </row>
    <row r="59" spans="2:11" s="18" customFormat="1" ht="12.75" x14ac:dyDescent="0.2">
      <c r="B59" s="72" t="s">
        <v>3</v>
      </c>
      <c r="C59" s="509">
        <f>Identification!E31</f>
        <v>0</v>
      </c>
      <c r="J59" s="187"/>
      <c r="K59" s="187"/>
    </row>
    <row r="60" spans="2:11" s="18" customFormat="1" ht="4.5" customHeight="1" x14ac:dyDescent="0.2">
      <c r="B60" s="71"/>
      <c r="C60" s="156"/>
      <c r="J60" s="187"/>
      <c r="K60" s="187"/>
    </row>
    <row r="61" spans="2:11" s="18" customFormat="1" ht="12.75" x14ac:dyDescent="0.2">
      <c r="E61" s="187"/>
      <c r="J61" s="187"/>
      <c r="K61" s="187"/>
    </row>
    <row r="62" spans="2:11" s="18" customFormat="1" ht="12.75" x14ac:dyDescent="0.2">
      <c r="E62" s="187"/>
      <c r="J62" s="187"/>
      <c r="K62" s="187"/>
    </row>
    <row r="63" spans="2:11" s="18" customFormat="1" ht="12.75" x14ac:dyDescent="0.2">
      <c r="E63" s="187"/>
      <c r="J63" s="187"/>
      <c r="K63" s="187"/>
    </row>
    <row r="64" spans="2:11" s="18" customFormat="1" ht="12.75" x14ac:dyDescent="0.2">
      <c r="E64" s="187"/>
      <c r="J64" s="187"/>
      <c r="K64" s="187"/>
    </row>
    <row r="65" spans="5:11" s="18" customFormat="1" ht="12.75" x14ac:dyDescent="0.2">
      <c r="E65" s="187"/>
      <c r="J65" s="187"/>
      <c r="K65" s="187"/>
    </row>
    <row r="66" spans="5:11" s="18" customFormat="1" ht="12.75" x14ac:dyDescent="0.2">
      <c r="E66" s="187"/>
      <c r="J66" s="187"/>
      <c r="K66" s="187"/>
    </row>
    <row r="67" spans="5:11" s="18" customFormat="1" ht="12.75" x14ac:dyDescent="0.2">
      <c r="E67" s="187"/>
      <c r="J67" s="187"/>
      <c r="K67" s="187"/>
    </row>
    <row r="68" spans="5:11" s="18" customFormat="1" ht="12.75" x14ac:dyDescent="0.2">
      <c r="E68" s="187"/>
      <c r="J68" s="187"/>
      <c r="K68" s="187"/>
    </row>
    <row r="69" spans="5:11" s="18" customFormat="1" ht="12.75" x14ac:dyDescent="0.2">
      <c r="E69" s="187"/>
      <c r="J69" s="187"/>
      <c r="K69" s="187"/>
    </row>
  </sheetData>
  <sheetProtection password="B19B" sheet="1" selectLockedCells="1"/>
  <conditionalFormatting sqref="E5:E12">
    <cfRule type="expression" dxfId="2" priority="2">
      <formula>OR(D5="Prestataire",D5="Fournisseur")</formula>
    </cfRule>
  </conditionalFormatting>
  <conditionalFormatting sqref="F5:F12">
    <cfRule type="expression" dxfId="1" priority="1">
      <formula>OR(D5="Prestataire",D5="Fournisseur")</formula>
    </cfRule>
  </conditionalFormatting>
  <dataValidations count="4">
    <dataValidation type="list" allowBlank="1" showInputMessage="1" showErrorMessage="1" sqref="D16:D44">
      <formula1>Ref_cat_personnel</formula1>
    </dataValidation>
    <dataValidation type="list" allowBlank="1" showInputMessage="1" showErrorMessage="1" sqref="D5:D12">
      <formula1>"Opérateur,Partenaire,Prestataire,Fournisseur"</formula1>
    </dataValidation>
    <dataValidation type="list" allowBlank="1" showInputMessage="1" showErrorMessage="1" sqref="B16:B44">
      <formula1>RefStructures</formula1>
    </dataValidation>
    <dataValidation type="list" allowBlank="1" showInputMessage="1" showErrorMessage="1" sqref="E5:E12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P65"/>
  <sheetViews>
    <sheetView zoomScale="90" zoomScaleNormal="90" zoomScalePageLayoutView="55" workbookViewId="0">
      <selection activeCell="E42" sqref="E42:G42"/>
    </sheetView>
  </sheetViews>
  <sheetFormatPr baseColWidth="10" defaultColWidth="11.42578125" defaultRowHeight="12.75" x14ac:dyDescent="0.2"/>
  <cols>
    <col min="1" max="1" width="7" style="9" customWidth="1"/>
    <col min="2" max="2" width="63.140625" style="9" customWidth="1"/>
    <col min="3" max="3" width="9" style="9" customWidth="1"/>
    <col min="4" max="4" width="35.7109375" style="9" customWidth="1"/>
    <col min="5" max="5" width="28.140625" style="9" customWidth="1"/>
    <col min="6" max="13" width="11.42578125" style="9"/>
    <col min="14" max="14" width="26.85546875" style="9" customWidth="1"/>
    <col min="15" max="15" width="11.42578125" style="9"/>
    <col min="16" max="16" width="16.42578125" style="9" bestFit="1" customWidth="1"/>
    <col min="17" max="16384" width="11.42578125" style="9"/>
  </cols>
  <sheetData>
    <row r="1" spans="1:16" ht="21.75" customHeight="1" x14ac:dyDescent="0.2">
      <c r="A1" s="701" t="s">
        <v>50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3" spans="1:16" x14ac:dyDescent="0.2">
      <c r="A3" s="39" t="s">
        <v>52</v>
      </c>
      <c r="B3" s="39"/>
      <c r="C3" s="39"/>
      <c r="D3" s="38"/>
      <c r="E3" s="38"/>
      <c r="F3" s="703" t="s">
        <v>86</v>
      </c>
      <c r="G3" s="704"/>
      <c r="H3" s="704"/>
      <c r="I3" s="704" t="s">
        <v>87</v>
      </c>
      <c r="J3" s="704"/>
      <c r="K3" s="705"/>
      <c r="L3" s="705"/>
      <c r="M3" s="706"/>
      <c r="N3" s="38"/>
    </row>
    <row r="4" spans="1:16" ht="51" x14ac:dyDescent="0.2">
      <c r="A4" s="97" t="s">
        <v>92</v>
      </c>
      <c r="B4" s="97" t="s">
        <v>54</v>
      </c>
      <c r="C4" s="101" t="s">
        <v>95</v>
      </c>
      <c r="D4" s="98" t="s">
        <v>55</v>
      </c>
      <c r="E4" s="100" t="s">
        <v>56</v>
      </c>
      <c r="F4" s="97" t="s">
        <v>47</v>
      </c>
      <c r="G4" s="98" t="s">
        <v>46</v>
      </c>
      <c r="H4" s="99" t="s">
        <v>48</v>
      </c>
      <c r="I4" s="97" t="s">
        <v>47</v>
      </c>
      <c r="J4" s="98" t="s">
        <v>46</v>
      </c>
      <c r="K4" s="98" t="s">
        <v>96</v>
      </c>
      <c r="L4" s="98" t="s">
        <v>102</v>
      </c>
      <c r="M4" s="99" t="s">
        <v>49</v>
      </c>
      <c r="N4" s="61" t="s">
        <v>36</v>
      </c>
    </row>
    <row r="5" spans="1:16" x14ac:dyDescent="0.2">
      <c r="A5" s="116" t="s">
        <v>99</v>
      </c>
      <c r="B5" s="117"/>
      <c r="C5" s="118"/>
      <c r="D5" s="119"/>
      <c r="E5" s="120"/>
      <c r="F5" s="121"/>
      <c r="G5" s="200" t="str">
        <f>IF(E5="","",VLOOKUP(E5,'Intervenants et coûts-j'!$C$15:$F$45,3,FALSE))</f>
        <v/>
      </c>
      <c r="H5" s="201" t="str">
        <f>IF(F5="","",G5*F5)</f>
        <v/>
      </c>
      <c r="I5" s="121"/>
      <c r="J5" s="200" t="str">
        <f>IF(E5="","",VLOOKUP(E5,'Intervenants et coûts-j'!$C$15:$F$45,4,FALSE))</f>
        <v/>
      </c>
      <c r="K5" s="102" t="str">
        <f>IF(I5="","",I5*J5)</f>
        <v/>
      </c>
      <c r="L5" s="104" t="str">
        <f>IF(C5="","",IF(C5="Oui",350,""))</f>
        <v/>
      </c>
      <c r="M5" s="93" t="str">
        <f>IF(I5="","",IF(AND(I5&gt;0,L5=""),K5,MIN(K5,L5)))</f>
        <v/>
      </c>
      <c r="N5" s="132"/>
      <c r="P5" s="199" t="e">
        <f>"ListeIntervenants"&amp;VLOOKUP(D5,'Intervenants et coûts-j'!$B$5:$C$12,2,FALSE)</f>
        <v>#N/A</v>
      </c>
    </row>
    <row r="6" spans="1:16" x14ac:dyDescent="0.2">
      <c r="A6" s="122"/>
      <c r="B6" s="117"/>
      <c r="C6" s="123"/>
      <c r="D6" s="124"/>
      <c r="E6" s="120"/>
      <c r="F6" s="125"/>
      <c r="G6" s="202" t="str">
        <f>IF(E6="","",VLOOKUP(E6,'Intervenants et coûts-j'!$C$15:$F$45,3,FALSE))</f>
        <v/>
      </c>
      <c r="H6" s="203" t="str">
        <f t="shared" ref="H6:H17" si="0">IF(F6="","",G6*F6)</f>
        <v/>
      </c>
      <c r="I6" s="125"/>
      <c r="J6" s="202" t="str">
        <f>IF(E6="","",VLOOKUP(E6,'Intervenants et coûts-j'!$C$15:$F$45,4,FALSE))</f>
        <v/>
      </c>
      <c r="K6" s="103" t="str">
        <f t="shared" ref="K6:K17" si="1">IF(I6="","",I6*J6)</f>
        <v/>
      </c>
      <c r="L6" s="105" t="str">
        <f>IF(C6="","",IF(C6="Oui",350-SUMIF(A5,A6,M5),""))</f>
        <v/>
      </c>
      <c r="M6" s="94" t="str">
        <f t="shared" ref="M6:M17" si="2">IF(I6="","",IF(AND(I6&gt;0,L6=""),K6,MIN(K6,L6)))</f>
        <v/>
      </c>
      <c r="N6" s="133"/>
      <c r="P6" s="199" t="e">
        <f>"ListeIntervenants"&amp;VLOOKUP(D6,'Intervenants et coûts-j'!$B$5:$C$12,2,FALSE)</f>
        <v>#N/A</v>
      </c>
    </row>
    <row r="7" spans="1:16" x14ac:dyDescent="0.2">
      <c r="A7" s="122"/>
      <c r="B7" s="126"/>
      <c r="C7" s="123"/>
      <c r="D7" s="124"/>
      <c r="E7" s="120"/>
      <c r="F7" s="125"/>
      <c r="G7" s="202" t="str">
        <f>IF(E7="","",VLOOKUP(E7,'Intervenants et coûts-j'!$C$15:$F$45,3,FALSE))</f>
        <v/>
      </c>
      <c r="H7" s="203" t="str">
        <f t="shared" si="0"/>
        <v/>
      </c>
      <c r="I7" s="125"/>
      <c r="J7" s="202" t="str">
        <f>IF(E7="","",VLOOKUP(E7,'Intervenants et coûts-j'!$C$15:$F$45,4,FALSE))</f>
        <v/>
      </c>
      <c r="K7" s="103" t="str">
        <f t="shared" si="1"/>
        <v/>
      </c>
      <c r="L7" s="105" t="str">
        <f>IF(C7="","",IF(C7="Oui",350-SUMIF($A$5:A6,A7,$M$5:M6),""))</f>
        <v/>
      </c>
      <c r="M7" s="94" t="str">
        <f t="shared" si="2"/>
        <v/>
      </c>
      <c r="N7" s="133"/>
      <c r="P7" s="199" t="e">
        <f>"ListeIntervenants"&amp;VLOOKUP(D7,'Intervenants et coûts-j'!$B$5:$C$12,2,FALSE)</f>
        <v>#N/A</v>
      </c>
    </row>
    <row r="8" spans="1:16" x14ac:dyDescent="0.2">
      <c r="A8" s="122"/>
      <c r="B8" s="126"/>
      <c r="C8" s="123"/>
      <c r="D8" s="124"/>
      <c r="E8" s="120"/>
      <c r="F8" s="125"/>
      <c r="G8" s="202" t="str">
        <f>IF(E8="","",VLOOKUP(E8,'Intervenants et coûts-j'!$C$15:$F$45,3,FALSE))</f>
        <v/>
      </c>
      <c r="H8" s="203" t="str">
        <f t="shared" si="0"/>
        <v/>
      </c>
      <c r="I8" s="125"/>
      <c r="J8" s="202" t="str">
        <f>IF(E8="","",VLOOKUP(E8,'Intervenants et coûts-j'!$C$15:$F$45,4,FALSE))</f>
        <v/>
      </c>
      <c r="K8" s="103" t="str">
        <f t="shared" si="1"/>
        <v/>
      </c>
      <c r="L8" s="105" t="str">
        <f>IF(C8="","",IF(C8="Oui",350-SUMIF($A$5:A7,A8,$M$5:M7),""))</f>
        <v/>
      </c>
      <c r="M8" s="94" t="str">
        <f t="shared" si="2"/>
        <v/>
      </c>
      <c r="N8" s="133"/>
      <c r="P8" s="199" t="e">
        <f>"ListeIntervenants"&amp;VLOOKUP(D8,'Intervenants et coûts-j'!$B$5:$C$12,2,FALSE)</f>
        <v>#N/A</v>
      </c>
    </row>
    <row r="9" spans="1:16" x14ac:dyDescent="0.2">
      <c r="A9" s="122"/>
      <c r="B9" s="126"/>
      <c r="C9" s="123"/>
      <c r="D9" s="124"/>
      <c r="E9" s="120"/>
      <c r="F9" s="125"/>
      <c r="G9" s="202" t="str">
        <f>IF(E9="","",VLOOKUP(E9,'Intervenants et coûts-j'!$C$15:$F$45,3,FALSE))</f>
        <v/>
      </c>
      <c r="H9" s="203" t="str">
        <f t="shared" si="0"/>
        <v/>
      </c>
      <c r="I9" s="125"/>
      <c r="J9" s="202" t="str">
        <f>IF(E9="","",VLOOKUP(E9,'Intervenants et coûts-j'!$C$15:$F$45,4,FALSE))</f>
        <v/>
      </c>
      <c r="K9" s="103" t="str">
        <f t="shared" si="1"/>
        <v/>
      </c>
      <c r="L9" s="105" t="str">
        <f>IF(C9="","",IF(C9="Oui",350-SUMIF($A$5:A8,A9,$M$5:M8),""))</f>
        <v/>
      </c>
      <c r="M9" s="94" t="str">
        <f t="shared" si="2"/>
        <v/>
      </c>
      <c r="N9" s="133"/>
      <c r="P9" s="199" t="e">
        <f>"ListeIntervenants"&amp;VLOOKUP(D9,'Intervenants et coûts-j'!$B$5:$C$12,2,FALSE)</f>
        <v>#N/A</v>
      </c>
    </row>
    <row r="10" spans="1:16" x14ac:dyDescent="0.2">
      <c r="A10" s="122"/>
      <c r="B10" s="126"/>
      <c r="C10" s="123"/>
      <c r="D10" s="124"/>
      <c r="E10" s="120"/>
      <c r="F10" s="125"/>
      <c r="G10" s="202" t="str">
        <f>IF(E10="","",VLOOKUP(E10,'Intervenants et coûts-j'!$C$15:$F$45,3,FALSE))</f>
        <v/>
      </c>
      <c r="H10" s="203" t="str">
        <f t="shared" si="0"/>
        <v/>
      </c>
      <c r="I10" s="125"/>
      <c r="J10" s="202" t="str">
        <f>IF(E10="","",VLOOKUP(E10,'Intervenants et coûts-j'!$C$15:$F$45,4,FALSE))</f>
        <v/>
      </c>
      <c r="K10" s="103" t="str">
        <f t="shared" si="1"/>
        <v/>
      </c>
      <c r="L10" s="105" t="str">
        <f>IF(C10="","",IF(C10="Oui",350-SUMIF($A$5:A9,A10,$M$5:M9),""))</f>
        <v/>
      </c>
      <c r="M10" s="94" t="str">
        <f t="shared" si="2"/>
        <v/>
      </c>
      <c r="N10" s="133"/>
      <c r="P10" s="199" t="e">
        <f>"ListeIntervenants"&amp;VLOOKUP(D10,'Intervenants et coûts-j'!$B$5:$C$12,2,FALSE)</f>
        <v>#N/A</v>
      </c>
    </row>
    <row r="11" spans="1:16" x14ac:dyDescent="0.2">
      <c r="A11" s="122"/>
      <c r="B11" s="126"/>
      <c r="C11" s="123"/>
      <c r="D11" s="124"/>
      <c r="E11" s="120"/>
      <c r="F11" s="125"/>
      <c r="G11" s="202" t="str">
        <f>IF(E11="","",VLOOKUP(E11,'Intervenants et coûts-j'!$C$15:$F$45,3,FALSE))</f>
        <v/>
      </c>
      <c r="H11" s="203" t="str">
        <f t="shared" si="0"/>
        <v/>
      </c>
      <c r="I11" s="125"/>
      <c r="J11" s="202" t="str">
        <f>IF(E11="","",VLOOKUP(E11,'Intervenants et coûts-j'!$C$15:$F$45,4,FALSE))</f>
        <v/>
      </c>
      <c r="K11" s="103" t="str">
        <f t="shared" si="1"/>
        <v/>
      </c>
      <c r="L11" s="105" t="str">
        <f>IF(C11="","",IF(C11="Oui",350-SUMIF($A$5:A10,A11,$M$5:M10),""))</f>
        <v/>
      </c>
      <c r="M11" s="94" t="str">
        <f t="shared" si="2"/>
        <v/>
      </c>
      <c r="N11" s="133"/>
      <c r="P11" s="199" t="e">
        <f>"ListeIntervenants"&amp;VLOOKUP(D11,'Intervenants et coûts-j'!$B$5:$C$12,2,FALSE)</f>
        <v>#N/A</v>
      </c>
    </row>
    <row r="12" spans="1:16" x14ac:dyDescent="0.2">
      <c r="A12" s="122"/>
      <c r="B12" s="126"/>
      <c r="C12" s="123"/>
      <c r="D12" s="124"/>
      <c r="E12" s="120"/>
      <c r="F12" s="125"/>
      <c r="G12" s="202" t="str">
        <f>IF(E12="","",VLOOKUP(E12,'Intervenants et coûts-j'!$C$15:$F$45,3,FALSE))</f>
        <v/>
      </c>
      <c r="H12" s="203" t="str">
        <f t="shared" si="0"/>
        <v/>
      </c>
      <c r="I12" s="125"/>
      <c r="J12" s="202" t="str">
        <f>IF(E12="","",VLOOKUP(E12,'Intervenants et coûts-j'!$C$15:$F$45,4,FALSE))</f>
        <v/>
      </c>
      <c r="K12" s="103" t="str">
        <f t="shared" si="1"/>
        <v/>
      </c>
      <c r="L12" s="105" t="str">
        <f>IF(C12="","",IF(C12="Oui",350-SUMIF($A$5:A11,A12,$M$5:M11),""))</f>
        <v/>
      </c>
      <c r="M12" s="94" t="str">
        <f t="shared" si="2"/>
        <v/>
      </c>
      <c r="N12" s="133"/>
      <c r="P12" s="199" t="e">
        <f>"ListeIntervenants"&amp;VLOOKUP(D12,'Intervenants et coûts-j'!$B$5:$C$12,2,FALSE)</f>
        <v>#N/A</v>
      </c>
    </row>
    <row r="13" spans="1:16" x14ac:dyDescent="0.2">
      <c r="A13" s="122"/>
      <c r="B13" s="126"/>
      <c r="C13" s="123"/>
      <c r="D13" s="124"/>
      <c r="E13" s="120"/>
      <c r="F13" s="125"/>
      <c r="G13" s="202" t="str">
        <f>IF(E13="","",VLOOKUP(E13,'Intervenants et coûts-j'!$C$15:$F$45,3,FALSE))</f>
        <v/>
      </c>
      <c r="H13" s="203" t="str">
        <f t="shared" si="0"/>
        <v/>
      </c>
      <c r="I13" s="125"/>
      <c r="J13" s="202" t="str">
        <f>IF(E13="","",VLOOKUP(E13,'Intervenants et coûts-j'!$C$15:$F$45,4,FALSE))</f>
        <v/>
      </c>
      <c r="K13" s="103" t="str">
        <f t="shared" si="1"/>
        <v/>
      </c>
      <c r="L13" s="105" t="str">
        <f>IF(C13="","",IF(C13="Oui",350-SUMIF($A$5:A12,A13,$M$5:M12),""))</f>
        <v/>
      </c>
      <c r="M13" s="94" t="str">
        <f t="shared" si="2"/>
        <v/>
      </c>
      <c r="N13" s="133"/>
      <c r="P13" s="199" t="e">
        <f>"ListeIntervenants"&amp;VLOOKUP(D13,'Intervenants et coûts-j'!$B$5:$C$12,2,FALSE)</f>
        <v>#N/A</v>
      </c>
    </row>
    <row r="14" spans="1:16" x14ac:dyDescent="0.2">
      <c r="A14" s="122"/>
      <c r="B14" s="126"/>
      <c r="C14" s="123"/>
      <c r="D14" s="124"/>
      <c r="E14" s="120"/>
      <c r="F14" s="125"/>
      <c r="G14" s="202" t="str">
        <f>IF(E14="","",VLOOKUP(E14,'Intervenants et coûts-j'!$C$15:$F$45,3,FALSE))</f>
        <v/>
      </c>
      <c r="H14" s="203" t="str">
        <f t="shared" si="0"/>
        <v/>
      </c>
      <c r="I14" s="125"/>
      <c r="J14" s="202" t="str">
        <f>IF(E14="","",VLOOKUP(E14,'Intervenants et coûts-j'!$C$15:$F$45,4,FALSE))</f>
        <v/>
      </c>
      <c r="K14" s="103" t="str">
        <f t="shared" si="1"/>
        <v/>
      </c>
      <c r="L14" s="105" t="str">
        <f>IF(C14="","",IF(C14="Oui",350-SUMIF($A$5:A13,A14,$M$5:M13),""))</f>
        <v/>
      </c>
      <c r="M14" s="94" t="str">
        <f t="shared" si="2"/>
        <v/>
      </c>
      <c r="N14" s="133"/>
      <c r="P14" s="199" t="e">
        <f>"ListeIntervenants"&amp;VLOOKUP(D14,'Intervenants et coûts-j'!$B$5:$C$12,2,FALSE)</f>
        <v>#N/A</v>
      </c>
    </row>
    <row r="15" spans="1:16" x14ac:dyDescent="0.2">
      <c r="A15" s="122"/>
      <c r="B15" s="126"/>
      <c r="C15" s="123"/>
      <c r="D15" s="124"/>
      <c r="E15" s="120"/>
      <c r="F15" s="125"/>
      <c r="G15" s="202" t="str">
        <f>IF(E15="","",VLOOKUP(E15,'Intervenants et coûts-j'!$C$15:$F$45,3,FALSE))</f>
        <v/>
      </c>
      <c r="H15" s="203" t="str">
        <f t="shared" si="0"/>
        <v/>
      </c>
      <c r="I15" s="125"/>
      <c r="J15" s="202" t="str">
        <f>IF(E15="","",VLOOKUP(E15,'Intervenants et coûts-j'!$C$15:$F$45,4,FALSE))</f>
        <v/>
      </c>
      <c r="K15" s="103" t="str">
        <f t="shared" si="1"/>
        <v/>
      </c>
      <c r="L15" s="105" t="str">
        <f>IF(C15="","",IF(C15="Oui",350-SUMIF($A$5:A14,A15,$M$5:M14),""))</f>
        <v/>
      </c>
      <c r="M15" s="94" t="str">
        <f t="shared" si="2"/>
        <v/>
      </c>
      <c r="N15" s="133"/>
      <c r="P15" s="199" t="e">
        <f>"ListeIntervenants"&amp;VLOOKUP(D15,'Intervenants et coûts-j'!$B$5:$C$12,2,FALSE)</f>
        <v>#N/A</v>
      </c>
    </row>
    <row r="16" spans="1:16" x14ac:dyDescent="0.2">
      <c r="A16" s="122"/>
      <c r="B16" s="126"/>
      <c r="C16" s="123"/>
      <c r="D16" s="124" t="s">
        <v>91</v>
      </c>
      <c r="E16" s="120"/>
      <c r="F16" s="125"/>
      <c r="G16" s="202" t="str">
        <f>IF(E16="","",VLOOKUP(E16,'Intervenants et coûts-j'!$C$15:$F$45,3,FALSE))</f>
        <v/>
      </c>
      <c r="H16" s="203" t="str">
        <f t="shared" si="0"/>
        <v/>
      </c>
      <c r="I16" s="125"/>
      <c r="J16" s="202" t="str">
        <f>IF(E16="","",VLOOKUP(E16,'Intervenants et coûts-j'!$C$15:$F$45,4,FALSE))</f>
        <v/>
      </c>
      <c r="K16" s="103" t="str">
        <f t="shared" si="1"/>
        <v/>
      </c>
      <c r="L16" s="105" t="str">
        <f>IF(C16="","",IF(C16="Oui",350-SUMIF($A$5:A15,A16,$M$5:M15),""))</f>
        <v/>
      </c>
      <c r="M16" s="94" t="str">
        <f t="shared" si="2"/>
        <v/>
      </c>
      <c r="N16" s="133"/>
      <c r="P16" s="199" t="e">
        <f>"ListeIntervenants"&amp;VLOOKUP(D16,'Intervenants et coûts-j'!$B$5:$C$12,2,FALSE)</f>
        <v>#N/A</v>
      </c>
    </row>
    <row r="17" spans="1:16" x14ac:dyDescent="0.2">
      <c r="A17" s="127"/>
      <c r="B17" s="128"/>
      <c r="C17" s="129"/>
      <c r="D17" s="130"/>
      <c r="E17" s="120"/>
      <c r="F17" s="131"/>
      <c r="G17" s="204" t="str">
        <f>IF(E17="","",VLOOKUP(E17,'Intervenants et coûts-j'!$C$15:$F$45,3,FALSE))</f>
        <v/>
      </c>
      <c r="H17" s="205" t="str">
        <f t="shared" si="0"/>
        <v/>
      </c>
      <c r="I17" s="131"/>
      <c r="J17" s="204" t="str">
        <f>IF(E17="","",VLOOKUP(E17,'Intervenants et coûts-j'!$C$15:$F$45,4,FALSE))</f>
        <v/>
      </c>
      <c r="K17" s="114" t="str">
        <f t="shared" si="1"/>
        <v/>
      </c>
      <c r="L17" s="105" t="str">
        <f>IF(C17="","",IF(C17="Oui",350-SUMIF($A$5:A16,A17,$M$5:M16),""))</f>
        <v/>
      </c>
      <c r="M17" s="95" t="str">
        <f t="shared" si="2"/>
        <v/>
      </c>
      <c r="N17" s="134"/>
      <c r="P17" s="199" t="e">
        <f>"ListeIntervenants"&amp;VLOOKUP(D17,'Intervenants et coûts-j'!$B$5:$C$12,2,FALSE)</f>
        <v>#N/A</v>
      </c>
    </row>
    <row r="18" spans="1:16" x14ac:dyDescent="0.2">
      <c r="A18" s="44"/>
      <c r="B18" s="44"/>
      <c r="C18" s="44"/>
      <c r="D18" s="44"/>
      <c r="E18" s="50" t="s">
        <v>58</v>
      </c>
      <c r="F18" s="92">
        <f>SUM(F5:F17)</f>
        <v>0</v>
      </c>
      <c r="G18" s="52" t="s">
        <v>57</v>
      </c>
      <c r="H18" s="53">
        <f>SUM(H5:H17)</f>
        <v>0</v>
      </c>
      <c r="I18" s="92"/>
      <c r="J18" s="53"/>
      <c r="K18" s="53"/>
      <c r="L18" s="53"/>
      <c r="M18" s="53">
        <f>SUM(M5:M17)</f>
        <v>0</v>
      </c>
      <c r="N18" s="45"/>
    </row>
    <row r="19" spans="1:16" x14ac:dyDescent="0.2">
      <c r="A19" s="113" t="s">
        <v>60</v>
      </c>
      <c r="B19" s="109"/>
      <c r="C19" s="142"/>
      <c r="E19" s="50" t="s">
        <v>59</v>
      </c>
      <c r="F19" s="51" t="s">
        <v>57</v>
      </c>
      <c r="G19" s="52" t="s">
        <v>57</v>
      </c>
      <c r="H19" s="53">
        <f>IF(C19="Oui",H18*0.15,0)</f>
        <v>0</v>
      </c>
      <c r="I19" s="53"/>
      <c r="J19" s="53"/>
      <c r="K19" s="53"/>
      <c r="L19" s="53"/>
      <c r="M19" s="53">
        <f>IF(C19="Oui",M18*0.15,0)</f>
        <v>0</v>
      </c>
      <c r="N19" s="45"/>
    </row>
    <row r="20" spans="1:16" x14ac:dyDescent="0.2">
      <c r="A20" s="18"/>
      <c r="B20" s="18"/>
      <c r="C20" s="18"/>
      <c r="D20" s="18"/>
      <c r="E20" s="49" t="s">
        <v>63</v>
      </c>
      <c r="F20" s="46" t="s">
        <v>57</v>
      </c>
      <c r="G20" s="47" t="s">
        <v>57</v>
      </c>
      <c r="H20" s="48">
        <f>H18+H19</f>
        <v>0</v>
      </c>
      <c r="I20" s="48"/>
      <c r="J20" s="48"/>
      <c r="K20" s="48"/>
      <c r="L20" s="48"/>
      <c r="M20" s="48">
        <f>M18+M19</f>
        <v>0</v>
      </c>
      <c r="N20" s="45"/>
    </row>
    <row r="21" spans="1:16" x14ac:dyDescent="0.2">
      <c r="A21" s="44"/>
      <c r="B21" s="44"/>
      <c r="C21" s="44"/>
      <c r="D21" s="40"/>
      <c r="E21" s="40"/>
      <c r="F21" s="42"/>
      <c r="G21" s="42"/>
      <c r="H21" s="41"/>
      <c r="I21" s="41"/>
      <c r="J21" s="41"/>
      <c r="K21" s="41"/>
      <c r="L21" s="41"/>
      <c r="M21" s="43"/>
      <c r="N21" s="38"/>
    </row>
    <row r="22" spans="1:16" x14ac:dyDescent="0.2">
      <c r="A22" s="39" t="s">
        <v>53</v>
      </c>
      <c r="B22" s="39"/>
      <c r="C22" s="39"/>
      <c r="D22" s="40"/>
      <c r="E22" s="40"/>
      <c r="F22" s="703" t="s">
        <v>86</v>
      </c>
      <c r="G22" s="704"/>
      <c r="H22" s="704"/>
      <c r="I22" s="704" t="s">
        <v>87</v>
      </c>
      <c r="J22" s="704"/>
      <c r="K22" s="705"/>
      <c r="L22" s="705"/>
      <c r="M22" s="706"/>
      <c r="N22" s="41"/>
    </row>
    <row r="23" spans="1:16" ht="38.25" x14ac:dyDescent="0.2">
      <c r="A23" s="97" t="s">
        <v>92</v>
      </c>
      <c r="B23" s="97" t="s">
        <v>54</v>
      </c>
      <c r="C23" s="101" t="s">
        <v>95</v>
      </c>
      <c r="D23" s="98" t="s">
        <v>55</v>
      </c>
      <c r="E23" s="100" t="s">
        <v>56</v>
      </c>
      <c r="F23" s="97" t="s">
        <v>61</v>
      </c>
      <c r="G23" s="98" t="s">
        <v>46</v>
      </c>
      <c r="H23" s="99" t="s">
        <v>48</v>
      </c>
      <c r="I23" s="97" t="s">
        <v>61</v>
      </c>
      <c r="J23" s="98" t="s">
        <v>46</v>
      </c>
      <c r="K23" s="98" t="s">
        <v>96</v>
      </c>
      <c r="L23" s="98" t="s">
        <v>102</v>
      </c>
      <c r="M23" s="99" t="s">
        <v>49</v>
      </c>
      <c r="N23" s="61" t="s">
        <v>36</v>
      </c>
    </row>
    <row r="24" spans="1:16" ht="12" customHeight="1" x14ac:dyDescent="0.2">
      <c r="A24" s="110" t="str">
        <f t="shared" ref="A24:B36" si="3">IF(A5="","",A5)</f>
        <v>E.1</v>
      </c>
      <c r="B24" s="75" t="str">
        <f>IF(B5="","",B5)</f>
        <v/>
      </c>
      <c r="C24" s="106" t="str">
        <f t="shared" ref="C24:E36" si="4">IF(C5="","",C5)</f>
        <v/>
      </c>
      <c r="D24" s="76" t="str">
        <f t="shared" si="4"/>
        <v/>
      </c>
      <c r="E24" s="77" t="str">
        <f t="shared" si="4"/>
        <v/>
      </c>
      <c r="F24" s="121"/>
      <c r="G24" s="200" t="str">
        <f>G5</f>
        <v/>
      </c>
      <c r="H24" s="201" t="str">
        <f>IF(F24="","",G24*F24*0.1)</f>
        <v/>
      </c>
      <c r="I24" s="121"/>
      <c r="J24" s="200" t="str">
        <f t="shared" ref="J24:J36" si="5">J5</f>
        <v/>
      </c>
      <c r="K24" s="102" t="str">
        <f>IF(I24="","",I24*J24*0.1)</f>
        <v/>
      </c>
      <c r="L24" s="84" t="str">
        <f>IF(OR(C24="Non",C24="",I24=""),"",IF(C24="Oui",350-SUMIF($A$5:A23,A24,$M$5:M23)))</f>
        <v/>
      </c>
      <c r="M24" s="93" t="str">
        <f>IF(I24="","",IF(AND(I24&gt;0,L24=""),K24,MIN(K24,L24)))</f>
        <v/>
      </c>
      <c r="N24" s="135"/>
    </row>
    <row r="25" spans="1:16" ht="12" customHeight="1" x14ac:dyDescent="0.2">
      <c r="A25" s="111" t="str">
        <f t="shared" si="3"/>
        <v/>
      </c>
      <c r="B25" s="78" t="str">
        <f t="shared" si="3"/>
        <v/>
      </c>
      <c r="C25" s="107" t="str">
        <f t="shared" si="4"/>
        <v/>
      </c>
      <c r="D25" s="79" t="str">
        <f t="shared" si="4"/>
        <v/>
      </c>
      <c r="E25" s="80" t="str">
        <f t="shared" si="4"/>
        <v/>
      </c>
      <c r="F25" s="125"/>
      <c r="G25" s="202" t="str">
        <f t="shared" ref="G25:G36" si="6">G6</f>
        <v/>
      </c>
      <c r="H25" s="203" t="str">
        <f t="shared" ref="H25:H36" si="7">IF(F25="","",G25*F25*0.1)</f>
        <v/>
      </c>
      <c r="I25" s="125"/>
      <c r="J25" s="202" t="str">
        <f t="shared" si="5"/>
        <v/>
      </c>
      <c r="K25" s="103" t="str">
        <f t="shared" ref="K25:K36" si="8">IF(I25="","",I25*J25*0.1)</f>
        <v/>
      </c>
      <c r="L25" s="85" t="str">
        <f>IF(OR(C25="Non",C25="",I25=""),"",IF(C25="Oui",350-SUMIF($A$5:A24,A25,$M$5:M24)))</f>
        <v/>
      </c>
      <c r="M25" s="94" t="str">
        <f t="shared" ref="M25:M36" si="9">IF(I25="","",IF(AND(I25&gt;0,L25=""),K25,MIN(K25,L25)))</f>
        <v/>
      </c>
      <c r="N25" s="133"/>
    </row>
    <row r="26" spans="1:16" ht="12" customHeight="1" x14ac:dyDescent="0.2">
      <c r="A26" s="111" t="str">
        <f t="shared" si="3"/>
        <v/>
      </c>
      <c r="B26" s="78" t="str">
        <f t="shared" si="3"/>
        <v/>
      </c>
      <c r="C26" s="107" t="str">
        <f t="shared" si="4"/>
        <v/>
      </c>
      <c r="D26" s="79" t="str">
        <f t="shared" si="4"/>
        <v/>
      </c>
      <c r="E26" s="80" t="str">
        <f t="shared" si="4"/>
        <v/>
      </c>
      <c r="F26" s="125"/>
      <c r="G26" s="202" t="str">
        <f t="shared" si="6"/>
        <v/>
      </c>
      <c r="H26" s="203" t="str">
        <f t="shared" si="7"/>
        <v/>
      </c>
      <c r="I26" s="125"/>
      <c r="J26" s="202" t="str">
        <f t="shared" si="5"/>
        <v/>
      </c>
      <c r="K26" s="103" t="str">
        <f t="shared" si="8"/>
        <v/>
      </c>
      <c r="L26" s="85" t="str">
        <f>IF(OR(C26="Non",C26="",I26=""),"",IF(C26="Oui",350-SUMIF($A$5:A25,A26,$M$5:M25)))</f>
        <v/>
      </c>
      <c r="M26" s="94" t="str">
        <f t="shared" si="9"/>
        <v/>
      </c>
      <c r="N26" s="133"/>
    </row>
    <row r="27" spans="1:16" ht="12" customHeight="1" x14ac:dyDescent="0.2">
      <c r="A27" s="111" t="str">
        <f t="shared" si="3"/>
        <v/>
      </c>
      <c r="B27" s="78" t="str">
        <f t="shared" si="3"/>
        <v/>
      </c>
      <c r="C27" s="107" t="str">
        <f t="shared" si="4"/>
        <v/>
      </c>
      <c r="D27" s="79" t="str">
        <f t="shared" si="4"/>
        <v/>
      </c>
      <c r="E27" s="80" t="str">
        <f t="shared" si="4"/>
        <v/>
      </c>
      <c r="F27" s="125"/>
      <c r="G27" s="202" t="str">
        <f t="shared" si="6"/>
        <v/>
      </c>
      <c r="H27" s="203" t="str">
        <f t="shared" si="7"/>
        <v/>
      </c>
      <c r="I27" s="125"/>
      <c r="J27" s="202" t="str">
        <f t="shared" si="5"/>
        <v/>
      </c>
      <c r="K27" s="103" t="str">
        <f t="shared" si="8"/>
        <v/>
      </c>
      <c r="L27" s="85" t="str">
        <f>IF(OR(C27="Non",C27="",I27=""),"",IF(C27="Oui",350-SUMIF($A$5:A26,A27,$M$5:M26)))</f>
        <v/>
      </c>
      <c r="M27" s="94" t="str">
        <f t="shared" si="9"/>
        <v/>
      </c>
      <c r="N27" s="133"/>
    </row>
    <row r="28" spans="1:16" ht="12" customHeight="1" x14ac:dyDescent="0.2">
      <c r="A28" s="111" t="str">
        <f t="shared" si="3"/>
        <v/>
      </c>
      <c r="B28" s="78" t="str">
        <f t="shared" si="3"/>
        <v/>
      </c>
      <c r="C28" s="107" t="str">
        <f t="shared" si="4"/>
        <v/>
      </c>
      <c r="D28" s="79" t="str">
        <f t="shared" si="4"/>
        <v/>
      </c>
      <c r="E28" s="80" t="str">
        <f t="shared" si="4"/>
        <v/>
      </c>
      <c r="F28" s="125"/>
      <c r="G28" s="202" t="str">
        <f t="shared" si="6"/>
        <v/>
      </c>
      <c r="H28" s="203" t="str">
        <f t="shared" si="7"/>
        <v/>
      </c>
      <c r="I28" s="125"/>
      <c r="J28" s="202" t="str">
        <f t="shared" si="5"/>
        <v/>
      </c>
      <c r="K28" s="103" t="str">
        <f t="shared" si="8"/>
        <v/>
      </c>
      <c r="L28" s="85" t="str">
        <f>IF(OR(C28="Non",C28="",I28=""),"",IF(C28="Oui",350-SUMIF($A$5:A27,A28,$M$5:M27)))</f>
        <v/>
      </c>
      <c r="M28" s="94" t="str">
        <f t="shared" si="9"/>
        <v/>
      </c>
      <c r="N28" s="133"/>
    </row>
    <row r="29" spans="1:16" ht="12" customHeight="1" x14ac:dyDescent="0.2">
      <c r="A29" s="111" t="str">
        <f t="shared" si="3"/>
        <v/>
      </c>
      <c r="B29" s="78" t="str">
        <f t="shared" si="3"/>
        <v/>
      </c>
      <c r="C29" s="107" t="str">
        <f t="shared" si="4"/>
        <v/>
      </c>
      <c r="D29" s="79" t="str">
        <f t="shared" si="4"/>
        <v/>
      </c>
      <c r="E29" s="80" t="str">
        <f t="shared" si="4"/>
        <v/>
      </c>
      <c r="F29" s="125"/>
      <c r="G29" s="202" t="str">
        <f t="shared" si="6"/>
        <v/>
      </c>
      <c r="H29" s="203" t="str">
        <f t="shared" si="7"/>
        <v/>
      </c>
      <c r="I29" s="125"/>
      <c r="J29" s="202" t="str">
        <f t="shared" si="5"/>
        <v/>
      </c>
      <c r="K29" s="103" t="str">
        <f t="shared" si="8"/>
        <v/>
      </c>
      <c r="L29" s="85" t="str">
        <f>IF(OR(C29="Non",C29="",I29=""),"",IF(C29="Oui",350-SUMIF($A$5:A28,A29,$M$5:M28)))</f>
        <v/>
      </c>
      <c r="M29" s="94" t="str">
        <f t="shared" si="9"/>
        <v/>
      </c>
      <c r="N29" s="133"/>
    </row>
    <row r="30" spans="1:16" ht="12" customHeight="1" x14ac:dyDescent="0.2">
      <c r="A30" s="111" t="str">
        <f t="shared" si="3"/>
        <v/>
      </c>
      <c r="B30" s="78" t="str">
        <f t="shared" si="3"/>
        <v/>
      </c>
      <c r="C30" s="107" t="str">
        <f t="shared" si="4"/>
        <v/>
      </c>
      <c r="D30" s="79" t="str">
        <f t="shared" si="4"/>
        <v/>
      </c>
      <c r="E30" s="80" t="str">
        <f t="shared" si="4"/>
        <v/>
      </c>
      <c r="F30" s="125"/>
      <c r="G30" s="202" t="str">
        <f t="shared" si="6"/>
        <v/>
      </c>
      <c r="H30" s="203" t="str">
        <f t="shared" si="7"/>
        <v/>
      </c>
      <c r="I30" s="125"/>
      <c r="J30" s="202" t="str">
        <f t="shared" si="5"/>
        <v/>
      </c>
      <c r="K30" s="103" t="str">
        <f t="shared" si="8"/>
        <v/>
      </c>
      <c r="L30" s="85" t="str">
        <f>IF(OR(C30="Non",C30="",I30=""),"",IF(C30="Oui",350-SUMIF($A$5:A29,A30,$M$5:M29)))</f>
        <v/>
      </c>
      <c r="M30" s="94" t="str">
        <f t="shared" si="9"/>
        <v/>
      </c>
      <c r="N30" s="133"/>
    </row>
    <row r="31" spans="1:16" ht="12" customHeight="1" x14ac:dyDescent="0.2">
      <c r="A31" s="111" t="str">
        <f t="shared" si="3"/>
        <v/>
      </c>
      <c r="B31" s="78" t="str">
        <f t="shared" si="3"/>
        <v/>
      </c>
      <c r="C31" s="107" t="str">
        <f t="shared" si="4"/>
        <v/>
      </c>
      <c r="D31" s="79" t="str">
        <f t="shared" si="4"/>
        <v/>
      </c>
      <c r="E31" s="80" t="str">
        <f t="shared" si="4"/>
        <v/>
      </c>
      <c r="F31" s="125"/>
      <c r="G31" s="202" t="str">
        <f t="shared" si="6"/>
        <v/>
      </c>
      <c r="H31" s="203" t="str">
        <f t="shared" si="7"/>
        <v/>
      </c>
      <c r="I31" s="125"/>
      <c r="J31" s="202" t="str">
        <f t="shared" si="5"/>
        <v/>
      </c>
      <c r="K31" s="103" t="str">
        <f t="shared" si="8"/>
        <v/>
      </c>
      <c r="L31" s="85" t="str">
        <f>IF(OR(C31="Non",C31="",I31=""),"",IF(C31="Oui",350-SUMIF($A$5:A30,A31,$M$5:M30)))</f>
        <v/>
      </c>
      <c r="M31" s="94" t="str">
        <f t="shared" si="9"/>
        <v/>
      </c>
      <c r="N31" s="133"/>
    </row>
    <row r="32" spans="1:16" ht="12" customHeight="1" x14ac:dyDescent="0.2">
      <c r="A32" s="111" t="str">
        <f t="shared" si="3"/>
        <v/>
      </c>
      <c r="B32" s="78" t="str">
        <f t="shared" si="3"/>
        <v/>
      </c>
      <c r="C32" s="107" t="str">
        <f t="shared" si="4"/>
        <v/>
      </c>
      <c r="D32" s="79" t="str">
        <f t="shared" si="4"/>
        <v/>
      </c>
      <c r="E32" s="80" t="str">
        <f t="shared" si="4"/>
        <v/>
      </c>
      <c r="F32" s="125"/>
      <c r="G32" s="202" t="str">
        <f t="shared" si="6"/>
        <v/>
      </c>
      <c r="H32" s="203" t="str">
        <f t="shared" si="7"/>
        <v/>
      </c>
      <c r="I32" s="125"/>
      <c r="J32" s="202" t="str">
        <f t="shared" si="5"/>
        <v/>
      </c>
      <c r="K32" s="103" t="str">
        <f t="shared" si="8"/>
        <v/>
      </c>
      <c r="L32" s="85" t="str">
        <f>IF(OR(C32="Non",C32="",I32=""),"",IF(C32="Oui",350-SUMIF($A$5:A31,A32,$M$5:M31)))</f>
        <v/>
      </c>
      <c r="M32" s="94" t="str">
        <f t="shared" si="9"/>
        <v/>
      </c>
      <c r="N32" s="133"/>
    </row>
    <row r="33" spans="1:14" ht="12" customHeight="1" x14ac:dyDescent="0.2">
      <c r="A33" s="111" t="str">
        <f t="shared" si="3"/>
        <v/>
      </c>
      <c r="B33" s="78" t="str">
        <f t="shared" si="3"/>
        <v/>
      </c>
      <c r="C33" s="107" t="str">
        <f t="shared" si="4"/>
        <v/>
      </c>
      <c r="D33" s="79" t="str">
        <f t="shared" si="4"/>
        <v/>
      </c>
      <c r="E33" s="80" t="str">
        <f t="shared" si="4"/>
        <v/>
      </c>
      <c r="F33" s="125"/>
      <c r="G33" s="202" t="str">
        <f t="shared" si="6"/>
        <v/>
      </c>
      <c r="H33" s="203" t="str">
        <f t="shared" si="7"/>
        <v/>
      </c>
      <c r="I33" s="125"/>
      <c r="J33" s="202" t="str">
        <f t="shared" si="5"/>
        <v/>
      </c>
      <c r="K33" s="103" t="str">
        <f t="shared" si="8"/>
        <v/>
      </c>
      <c r="L33" s="85" t="str">
        <f>IF(OR(C33="Non",C33="",I33=""),"",IF(C33="Oui",350-SUMIF($A$5:A32,A33,$M$5:M32)))</f>
        <v/>
      </c>
      <c r="M33" s="94" t="str">
        <f t="shared" si="9"/>
        <v/>
      </c>
      <c r="N33" s="133"/>
    </row>
    <row r="34" spans="1:14" ht="12" customHeight="1" x14ac:dyDescent="0.2">
      <c r="A34" s="111" t="str">
        <f t="shared" si="3"/>
        <v/>
      </c>
      <c r="B34" s="78" t="str">
        <f t="shared" si="3"/>
        <v/>
      </c>
      <c r="C34" s="107" t="str">
        <f t="shared" si="4"/>
        <v/>
      </c>
      <c r="D34" s="79" t="str">
        <f t="shared" si="4"/>
        <v/>
      </c>
      <c r="E34" s="80" t="str">
        <f t="shared" si="4"/>
        <v/>
      </c>
      <c r="F34" s="125"/>
      <c r="G34" s="202" t="str">
        <f t="shared" si="6"/>
        <v/>
      </c>
      <c r="H34" s="203" t="str">
        <f t="shared" si="7"/>
        <v/>
      </c>
      <c r="I34" s="125"/>
      <c r="J34" s="202" t="str">
        <f t="shared" si="5"/>
        <v/>
      </c>
      <c r="K34" s="103" t="str">
        <f t="shared" si="8"/>
        <v/>
      </c>
      <c r="L34" s="85" t="str">
        <f>IF(OR(C34="Non",C34="",I34=""),"",IF(C34="Oui",350-SUMIF($A$5:A33,A34,$M$5:M33)))</f>
        <v/>
      </c>
      <c r="M34" s="94" t="str">
        <f t="shared" si="9"/>
        <v/>
      </c>
      <c r="N34" s="133"/>
    </row>
    <row r="35" spans="1:14" ht="12" customHeight="1" x14ac:dyDescent="0.2">
      <c r="A35" s="111" t="str">
        <f t="shared" si="3"/>
        <v/>
      </c>
      <c r="B35" s="78" t="str">
        <f t="shared" si="3"/>
        <v/>
      </c>
      <c r="C35" s="107" t="str">
        <f t="shared" si="4"/>
        <v/>
      </c>
      <c r="D35" s="79" t="str">
        <f t="shared" si="4"/>
        <v xml:space="preserve"> </v>
      </c>
      <c r="E35" s="80" t="str">
        <f t="shared" si="4"/>
        <v/>
      </c>
      <c r="F35" s="125"/>
      <c r="G35" s="202" t="str">
        <f t="shared" si="6"/>
        <v/>
      </c>
      <c r="H35" s="203" t="str">
        <f t="shared" si="7"/>
        <v/>
      </c>
      <c r="I35" s="125"/>
      <c r="J35" s="202" t="str">
        <f t="shared" si="5"/>
        <v/>
      </c>
      <c r="K35" s="103" t="str">
        <f t="shared" si="8"/>
        <v/>
      </c>
      <c r="L35" s="85" t="str">
        <f>IF(OR(C35="Non",C35="",I35=""),"",IF(C35="Oui",350-SUMIF($A$5:A34,A35,$M$5:M34)))</f>
        <v/>
      </c>
      <c r="M35" s="94" t="str">
        <f t="shared" si="9"/>
        <v/>
      </c>
      <c r="N35" s="133"/>
    </row>
    <row r="36" spans="1:14" ht="12" customHeight="1" x14ac:dyDescent="0.2">
      <c r="A36" s="112" t="str">
        <f t="shared" si="3"/>
        <v/>
      </c>
      <c r="B36" s="81" t="str">
        <f t="shared" si="3"/>
        <v/>
      </c>
      <c r="C36" s="108" t="str">
        <f t="shared" si="4"/>
        <v/>
      </c>
      <c r="D36" s="82" t="str">
        <f t="shared" si="4"/>
        <v/>
      </c>
      <c r="E36" s="83" t="str">
        <f t="shared" si="4"/>
        <v/>
      </c>
      <c r="F36" s="131"/>
      <c r="G36" s="204" t="str">
        <f t="shared" si="6"/>
        <v/>
      </c>
      <c r="H36" s="205" t="str">
        <f t="shared" si="7"/>
        <v/>
      </c>
      <c r="I36" s="131"/>
      <c r="J36" s="204" t="str">
        <f t="shared" si="5"/>
        <v/>
      </c>
      <c r="K36" s="114" t="str">
        <f t="shared" si="8"/>
        <v/>
      </c>
      <c r="L36" s="86" t="str">
        <f>IF(OR(C36="Non",C36="",I36=""),"",IF(C36="Oui",350-SUMIF($A$5:A35,A36,$M$5:M35)))</f>
        <v/>
      </c>
      <c r="M36" s="95" t="str">
        <f t="shared" si="9"/>
        <v/>
      </c>
      <c r="N36" s="134"/>
    </row>
    <row r="37" spans="1:14" x14ac:dyDescent="0.2">
      <c r="A37" s="44"/>
      <c r="B37" s="44"/>
      <c r="C37" s="44"/>
      <c r="D37" s="44"/>
      <c r="E37" s="57" t="s">
        <v>62</v>
      </c>
      <c r="F37" s="96">
        <f>SUM(F24:F36)</f>
        <v>0</v>
      </c>
      <c r="G37" s="58" t="s">
        <v>57</v>
      </c>
      <c r="H37" s="58">
        <f>SUM(H24:H36)</f>
        <v>0</v>
      </c>
      <c r="I37" s="96">
        <f>SUM(I24:I36)</f>
        <v>0</v>
      </c>
      <c r="J37" s="58" t="s">
        <v>57</v>
      </c>
      <c r="K37" s="115"/>
      <c r="L37" s="58"/>
      <c r="M37" s="58">
        <f>SUM(M24:M36)</f>
        <v>0</v>
      </c>
      <c r="N37" s="54"/>
    </row>
    <row r="38" spans="1:14" x14ac:dyDescent="0.2">
      <c r="A38" s="44"/>
      <c r="B38" s="44"/>
      <c r="C38" s="44"/>
      <c r="D38" s="44"/>
      <c r="F38" s="44"/>
      <c r="G38" s="55"/>
      <c r="H38" s="56"/>
      <c r="I38" s="56"/>
      <c r="J38" s="56"/>
      <c r="K38" s="56"/>
      <c r="L38" s="56"/>
      <c r="M38" s="56"/>
      <c r="N38" s="54"/>
    </row>
    <row r="39" spans="1:14" x14ac:dyDescent="0.2">
      <c r="A39" s="39" t="s">
        <v>108</v>
      </c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</row>
    <row r="40" spans="1:14" ht="38.25" x14ac:dyDescent="0.2">
      <c r="A40" s="97"/>
      <c r="B40" s="699" t="s">
        <v>70</v>
      </c>
      <c r="C40" s="700"/>
      <c r="D40" s="209" t="s">
        <v>103</v>
      </c>
      <c r="E40" s="707" t="s">
        <v>113</v>
      </c>
      <c r="F40" s="700"/>
      <c r="G40" s="708"/>
      <c r="H40" s="61" t="s">
        <v>48</v>
      </c>
      <c r="I40" s="87"/>
      <c r="J40" s="87"/>
      <c r="K40" s="87"/>
      <c r="L40" s="87"/>
      <c r="M40" s="66" t="s">
        <v>49</v>
      </c>
      <c r="N40" s="61" t="s">
        <v>36</v>
      </c>
    </row>
    <row r="41" spans="1:14" x14ac:dyDescent="0.2">
      <c r="A41" s="136"/>
      <c r="B41" s="713"/>
      <c r="C41" s="714"/>
      <c r="D41" s="210"/>
      <c r="E41" s="715"/>
      <c r="F41" s="714"/>
      <c r="G41" s="716"/>
      <c r="H41" s="206">
        <v>0</v>
      </c>
      <c r="I41" s="88"/>
      <c r="J41" s="88"/>
      <c r="K41" s="88"/>
      <c r="L41" s="88"/>
      <c r="M41" s="137">
        <v>0</v>
      </c>
      <c r="N41" s="135"/>
    </row>
    <row r="42" spans="1:14" ht="15" customHeight="1" x14ac:dyDescent="0.2">
      <c r="A42" s="138"/>
      <c r="B42" s="709"/>
      <c r="C42" s="710"/>
      <c r="D42" s="126"/>
      <c r="E42" s="711"/>
      <c r="F42" s="710"/>
      <c r="G42" s="712"/>
      <c r="H42" s="207">
        <v>0</v>
      </c>
      <c r="I42" s="89"/>
      <c r="J42" s="89"/>
      <c r="K42" s="89"/>
      <c r="L42" s="89"/>
      <c r="M42" s="139">
        <v>0</v>
      </c>
      <c r="N42" s="133"/>
    </row>
    <row r="43" spans="1:14" ht="15" customHeight="1" x14ac:dyDescent="0.2">
      <c r="A43" s="138"/>
      <c r="B43" s="709"/>
      <c r="C43" s="710"/>
      <c r="D43" s="126"/>
      <c r="E43" s="711"/>
      <c r="F43" s="710"/>
      <c r="G43" s="712"/>
      <c r="H43" s="207">
        <v>0</v>
      </c>
      <c r="I43" s="89"/>
      <c r="J43" s="89"/>
      <c r="K43" s="89"/>
      <c r="L43" s="89"/>
      <c r="M43" s="139">
        <v>0</v>
      </c>
      <c r="N43" s="133"/>
    </row>
    <row r="44" spans="1:14" ht="15" customHeight="1" x14ac:dyDescent="0.2">
      <c r="A44" s="138"/>
      <c r="B44" s="709"/>
      <c r="C44" s="710"/>
      <c r="D44" s="126"/>
      <c r="E44" s="711"/>
      <c r="F44" s="710"/>
      <c r="G44" s="712"/>
      <c r="H44" s="207">
        <v>0</v>
      </c>
      <c r="I44" s="89"/>
      <c r="J44" s="89"/>
      <c r="K44" s="89"/>
      <c r="L44" s="89"/>
      <c r="M44" s="139">
        <v>0</v>
      </c>
      <c r="N44" s="133"/>
    </row>
    <row r="45" spans="1:14" ht="15" customHeight="1" x14ac:dyDescent="0.2">
      <c r="A45" s="138"/>
      <c r="B45" s="709"/>
      <c r="C45" s="710"/>
      <c r="D45" s="126"/>
      <c r="E45" s="711"/>
      <c r="F45" s="710"/>
      <c r="G45" s="712"/>
      <c r="H45" s="207">
        <v>0</v>
      </c>
      <c r="I45" s="89"/>
      <c r="J45" s="89"/>
      <c r="K45" s="89"/>
      <c r="L45" s="89"/>
      <c r="M45" s="139">
        <v>0</v>
      </c>
      <c r="N45" s="133"/>
    </row>
    <row r="46" spans="1:14" ht="15" customHeight="1" x14ac:dyDescent="0.2">
      <c r="A46" s="138"/>
      <c r="B46" s="709"/>
      <c r="C46" s="710"/>
      <c r="D46" s="126"/>
      <c r="E46" s="711"/>
      <c r="F46" s="710"/>
      <c r="G46" s="712"/>
      <c r="H46" s="207">
        <v>0</v>
      </c>
      <c r="I46" s="89"/>
      <c r="J46" s="89"/>
      <c r="K46" s="89"/>
      <c r="L46" s="89"/>
      <c r="M46" s="139">
        <v>0</v>
      </c>
      <c r="N46" s="133"/>
    </row>
    <row r="47" spans="1:14" ht="15" customHeight="1" x14ac:dyDescent="0.2">
      <c r="A47" s="138"/>
      <c r="B47" s="709"/>
      <c r="C47" s="710"/>
      <c r="D47" s="126"/>
      <c r="E47" s="711"/>
      <c r="F47" s="710"/>
      <c r="G47" s="712"/>
      <c r="H47" s="207">
        <v>0</v>
      </c>
      <c r="I47" s="89"/>
      <c r="J47" s="89"/>
      <c r="K47" s="89"/>
      <c r="L47" s="89"/>
      <c r="M47" s="139">
        <v>0</v>
      </c>
      <c r="N47" s="133"/>
    </row>
    <row r="48" spans="1:14" ht="15" customHeight="1" x14ac:dyDescent="0.2">
      <c r="A48" s="140"/>
      <c r="B48" s="717"/>
      <c r="C48" s="718"/>
      <c r="D48" s="128"/>
      <c r="E48" s="723"/>
      <c r="F48" s="718"/>
      <c r="G48" s="724"/>
      <c r="H48" s="208">
        <v>0</v>
      </c>
      <c r="I48" s="90"/>
      <c r="J48" s="90"/>
      <c r="K48" s="90"/>
      <c r="L48" s="90"/>
      <c r="M48" s="141">
        <v>0</v>
      </c>
      <c r="N48" s="134"/>
    </row>
    <row r="49" spans="1:14" x14ac:dyDescent="0.2">
      <c r="A49" s="40"/>
      <c r="B49" s="40"/>
      <c r="C49" s="40"/>
      <c r="D49" s="40"/>
      <c r="E49" s="40"/>
      <c r="F49" s="44"/>
      <c r="G49" s="59" t="s">
        <v>64</v>
      </c>
      <c r="H49" s="60">
        <f>SUM(H41:H48)</f>
        <v>0</v>
      </c>
      <c r="I49" s="91"/>
      <c r="J49" s="91"/>
      <c r="K49" s="91"/>
      <c r="L49" s="91"/>
      <c r="M49" s="58">
        <f>SUM(M41:M48)</f>
        <v>0</v>
      </c>
      <c r="N49" s="32"/>
    </row>
    <row r="50" spans="1:14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2" spans="1:14" ht="12.75" customHeight="1" x14ac:dyDescent="0.2">
      <c r="B52" s="37" t="s">
        <v>81</v>
      </c>
      <c r="C52" s="37"/>
      <c r="G52" s="721" t="s">
        <v>106</v>
      </c>
      <c r="H52" s="722"/>
      <c r="I52" s="722"/>
      <c r="J52" s="722"/>
      <c r="K52" s="722"/>
      <c r="L52" s="722"/>
      <c r="M52" s="722"/>
      <c r="N52" s="722"/>
    </row>
    <row r="53" spans="1:14" ht="23.25" customHeight="1" x14ac:dyDescent="0.2">
      <c r="B53" s="699" t="s">
        <v>43</v>
      </c>
      <c r="C53" s="708"/>
      <c r="D53" s="66" t="s">
        <v>44</v>
      </c>
      <c r="E53" s="61" t="s">
        <v>45</v>
      </c>
      <c r="G53" s="159">
        <f>'Intervenants et coûts-j'!B5</f>
        <v>0</v>
      </c>
      <c r="H53" s="21">
        <f>'Intervenants et coûts-j'!B6</f>
        <v>0</v>
      </c>
      <c r="I53" s="21">
        <f>'Intervenants et coûts-j'!B7</f>
        <v>0</v>
      </c>
      <c r="J53" s="158">
        <f>'Intervenants et coûts-j'!B8</f>
        <v>0</v>
      </c>
      <c r="K53" s="158">
        <f>'Intervenants et coûts-j'!B9</f>
        <v>0</v>
      </c>
      <c r="L53" s="158">
        <f>'Intervenants et coûts-j'!B10</f>
        <v>0</v>
      </c>
      <c r="M53" s="158">
        <f>'Intervenants et coûts-j'!B11</f>
        <v>0</v>
      </c>
      <c r="N53" s="158" t="s">
        <v>105</v>
      </c>
    </row>
    <row r="54" spans="1:14" ht="15" customHeight="1" x14ac:dyDescent="0.2">
      <c r="B54" s="719" t="s">
        <v>68</v>
      </c>
      <c r="C54" s="720"/>
      <c r="D54" s="67">
        <f>H18</f>
        <v>0</v>
      </c>
      <c r="E54" s="62">
        <f>M18</f>
        <v>0</v>
      </c>
      <c r="G54" s="163">
        <f>TRUNC(SUMIF('Dépenses volet 1-Elaboration'!$D$5:$D$17,G53,'Dépenses volet 1-Elaboration'!$M$5:$M$17),2)</f>
        <v>0</v>
      </c>
      <c r="H54" s="162">
        <f>TRUNC(SUMIF('Dépenses volet 1-Elaboration'!$D$5:$D$17,H53,'Dépenses volet 1-Elaboration'!$M$5:$M$17),2)</f>
        <v>0</v>
      </c>
      <c r="I54" s="162">
        <f>TRUNC(SUMIF('Dépenses volet 1-Elaboration'!$D$5:$D$17,I53,'Dépenses volet 1-Elaboration'!$M$5:$M$17),2)</f>
        <v>0</v>
      </c>
      <c r="J54" s="164">
        <f>TRUNC(SUMIF('Dépenses volet 1-Elaboration'!$D$5:$D$17,J53,'Dépenses volet 1-Elaboration'!$M$5:$M$17),2)</f>
        <v>0</v>
      </c>
      <c r="K54" s="164">
        <f>TRUNC(SUMIF('Dépenses volet 1-Elaboration'!$D$5:$D$17,K53,'Dépenses volet 1-Elaboration'!$M$5:$M$17),2)</f>
        <v>0</v>
      </c>
      <c r="L54" s="164">
        <f>TRUNC(SUMIF('Dépenses volet 1-Elaboration'!$D$5:$D$17,L53,'Dépenses volet 1-Elaboration'!$M$5:$M$17),2)</f>
        <v>0</v>
      </c>
      <c r="M54" s="164">
        <f>TRUNC(SUMIF('Dépenses volet 1-Elaboration'!$D$5:$D$17,M53,'Dépenses volet 1-Elaboration'!$M$5:$M$17),2)</f>
        <v>0</v>
      </c>
      <c r="N54" s="164">
        <f>SUM(G54:M54)</f>
        <v>0</v>
      </c>
    </row>
    <row r="55" spans="1:14" ht="15" customHeight="1" x14ac:dyDescent="0.2">
      <c r="B55" s="734" t="s">
        <v>67</v>
      </c>
      <c r="C55" s="735"/>
      <c r="D55" s="68">
        <f>H19</f>
        <v>0</v>
      </c>
      <c r="E55" s="63">
        <f>M19</f>
        <v>0</v>
      </c>
      <c r="G55" s="163">
        <f>TRUNC(IF('Dépenses volet 1-Elaboration'!$C$19="Oui",G54*0.15,0),2)</f>
        <v>0</v>
      </c>
      <c r="H55" s="162">
        <f>TRUNC(IF('Dépenses volet 1-Elaboration'!$C$19="Oui",H54*0.15,0),2)</f>
        <v>0</v>
      </c>
      <c r="I55" s="162">
        <f>TRUNC(IF('Dépenses volet 1-Elaboration'!$C$19="Oui",I54*0.15,0),2)</f>
        <v>0</v>
      </c>
      <c r="J55" s="164">
        <f>TRUNC(IF('Dépenses volet 1-Elaboration'!$C$19="Oui",J54*0.15,0),2)</f>
        <v>0</v>
      </c>
      <c r="K55" s="164">
        <f>TRUNC(IF('Dépenses volet 1-Elaboration'!$C$19="Oui",K54*0.15,0),2)</f>
        <v>0</v>
      </c>
      <c r="L55" s="164">
        <f>TRUNC(IF('Dépenses volet 1-Elaboration'!$C$19="Oui",L54*0.15,0),2)</f>
        <v>0</v>
      </c>
      <c r="M55" s="164">
        <f>TRUNC(IF('Dépenses volet 1-Elaboration'!$C$19="Oui",M54*0.15,0),2)</f>
        <v>0</v>
      </c>
      <c r="N55" s="164">
        <f t="shared" ref="N55:N58" si="10">SUM(G55:M55)</f>
        <v>0</v>
      </c>
    </row>
    <row r="56" spans="1:14" ht="15" customHeight="1" x14ac:dyDescent="0.2">
      <c r="B56" s="734" t="s">
        <v>66</v>
      </c>
      <c r="C56" s="735"/>
      <c r="D56" s="68">
        <f>H37</f>
        <v>0</v>
      </c>
      <c r="E56" s="63">
        <f>M37</f>
        <v>0</v>
      </c>
      <c r="G56" s="163">
        <f>TRUNC(SUMIF('Dépenses volet 1-Elaboration'!$D$24:$D$36,G53,'Dépenses volet 1-Elaboration'!$M$24:$M$36),2)</f>
        <v>0</v>
      </c>
      <c r="H56" s="162">
        <f>TRUNC(SUMIF('Dépenses volet 1-Elaboration'!$D$24:$D$36,H53,'Dépenses volet 1-Elaboration'!$M$24:$M$36),2)</f>
        <v>0</v>
      </c>
      <c r="I56" s="162">
        <f>TRUNC(SUMIF('Dépenses volet 1-Elaboration'!$D$24:$D$36,I53,'Dépenses volet 1-Elaboration'!$M$24:$M$36),2)</f>
        <v>0</v>
      </c>
      <c r="J56" s="164">
        <f>TRUNC(SUMIF('Dépenses volet 1-Elaboration'!$D$24:$D$36,J53,'Dépenses volet 1-Elaboration'!$M$24:$M$36),2)</f>
        <v>0</v>
      </c>
      <c r="K56" s="164">
        <f>TRUNC(SUMIF('Dépenses volet 1-Elaboration'!$D$24:$D$36,K53,'Dépenses volet 1-Elaboration'!$M$24:$M$36),2)</f>
        <v>0</v>
      </c>
      <c r="L56" s="164">
        <f>TRUNC(SUMIF('Dépenses volet 1-Elaboration'!$D$24:$D$36,L53,'Dépenses volet 1-Elaboration'!$M$24:$M$36),2)</f>
        <v>0</v>
      </c>
      <c r="M56" s="164">
        <f>TRUNC(SUMIF('Dépenses volet 1-Elaboration'!$D$24:$D$36,M53,'Dépenses volet 1-Elaboration'!$M$24:$M$36),2)</f>
        <v>0</v>
      </c>
      <c r="N56" s="164">
        <f t="shared" si="10"/>
        <v>0</v>
      </c>
    </row>
    <row r="57" spans="1:14" ht="15" customHeight="1" x14ac:dyDescent="0.2">
      <c r="B57" s="736" t="s">
        <v>65</v>
      </c>
      <c r="C57" s="737"/>
      <c r="D57" s="69">
        <f>H49</f>
        <v>0</v>
      </c>
      <c r="E57" s="64">
        <f>M49</f>
        <v>0</v>
      </c>
      <c r="G57" s="167">
        <f>TRUNC(SUMIF('Dépenses volet 1-Elaboration'!$D$41:$D$48,G53,'Dépenses volet 1-Elaboration'!$M$41:$M$48),2)</f>
        <v>0</v>
      </c>
      <c r="H57" s="166">
        <f>TRUNC(SUMIF('Dépenses volet 1-Elaboration'!$D$41:$D$48,H53,'Dépenses volet 1-Elaboration'!$M$41:$M$48),2)</f>
        <v>0</v>
      </c>
      <c r="I57" s="166">
        <f>TRUNC(SUMIF('Dépenses volet 1-Elaboration'!$D$41:$D$48,I53,'Dépenses volet 1-Elaboration'!$M$41:$M$48),2)</f>
        <v>0</v>
      </c>
      <c r="J57" s="168">
        <f>TRUNC(SUMIF('Dépenses volet 1-Elaboration'!$D$41:$D$48,J53,'Dépenses volet 1-Elaboration'!$M$41:$M$48),2)</f>
        <v>0</v>
      </c>
      <c r="K57" s="168">
        <f>TRUNC(SUMIF('Dépenses volet 1-Elaboration'!$D$41:$D$48,K53,'Dépenses volet 1-Elaboration'!$M$41:$M$48),2)</f>
        <v>0</v>
      </c>
      <c r="L57" s="168">
        <f>TRUNC(SUMIF('Dépenses volet 1-Elaboration'!$D$41:$D$48,L53,'Dépenses volet 1-Elaboration'!$M$41:$M$48),2)</f>
        <v>0</v>
      </c>
      <c r="M57" s="168">
        <f>TRUNC(SUMIF('Dépenses volet 1-Elaboration'!$D$41:$D$48,M53,'Dépenses volet 1-Elaboration'!$M$41:$M$48),2)</f>
        <v>0</v>
      </c>
      <c r="N57" s="168">
        <f t="shared" si="10"/>
        <v>0</v>
      </c>
    </row>
    <row r="58" spans="1:14" x14ac:dyDescent="0.2">
      <c r="B58" s="738" t="s">
        <v>71</v>
      </c>
      <c r="C58" s="739"/>
      <c r="D58" s="70">
        <f>SUM(D54:D57)</f>
        <v>0</v>
      </c>
      <c r="E58" s="65">
        <f>SUM(E54:E57)</f>
        <v>0</v>
      </c>
      <c r="G58" s="170">
        <f t="shared" ref="G58:M58" si="11">SUM(G54:G57)</f>
        <v>0</v>
      </c>
      <c r="H58" s="169">
        <f t="shared" si="11"/>
        <v>0</v>
      </c>
      <c r="I58" s="169">
        <f t="shared" si="11"/>
        <v>0</v>
      </c>
      <c r="J58" s="171">
        <f t="shared" si="11"/>
        <v>0</v>
      </c>
      <c r="K58" s="171">
        <f t="shared" si="11"/>
        <v>0</v>
      </c>
      <c r="L58" s="171">
        <f t="shared" si="11"/>
        <v>0</v>
      </c>
      <c r="M58" s="171">
        <f t="shared" si="11"/>
        <v>0</v>
      </c>
      <c r="N58" s="171">
        <f t="shared" si="10"/>
        <v>0</v>
      </c>
    </row>
    <row r="61" spans="1:14" x14ac:dyDescent="0.2">
      <c r="A61" s="72" t="s">
        <v>2</v>
      </c>
      <c r="B61" s="74"/>
      <c r="C61" s="74"/>
      <c r="D61" s="731">
        <f>Identification!E30</f>
        <v>0</v>
      </c>
      <c r="E61" s="732"/>
      <c r="F61" s="733"/>
    </row>
    <row r="62" spans="1:14" x14ac:dyDescent="0.2">
      <c r="A62" s="72" t="s">
        <v>3</v>
      </c>
      <c r="B62" s="74"/>
      <c r="C62" s="74"/>
      <c r="D62" s="725">
        <f>Identification!E31</f>
        <v>0</v>
      </c>
      <c r="E62" s="726"/>
      <c r="F62" s="727"/>
    </row>
    <row r="63" spans="1:14" ht="5.25" customHeight="1" x14ac:dyDescent="0.2">
      <c r="A63" s="71"/>
      <c r="B63" s="71"/>
      <c r="C63" s="71"/>
      <c r="D63" s="155"/>
      <c r="E63" s="155"/>
      <c r="F63" s="155"/>
    </row>
    <row r="64" spans="1:14" x14ac:dyDescent="0.2">
      <c r="A64" s="72" t="s">
        <v>7</v>
      </c>
      <c r="B64" s="74"/>
      <c r="C64" s="74"/>
      <c r="D64" s="728">
        <f>Identification!E40</f>
        <v>0</v>
      </c>
      <c r="E64" s="729"/>
      <c r="F64" s="730"/>
    </row>
    <row r="65" spans="1:6" x14ac:dyDescent="0.2">
      <c r="A65" s="72" t="s">
        <v>8</v>
      </c>
      <c r="B65" s="74"/>
      <c r="C65" s="74"/>
      <c r="D65" s="731">
        <f>Identification!E41</f>
        <v>0</v>
      </c>
      <c r="E65" s="732"/>
      <c r="F65" s="733"/>
    </row>
  </sheetData>
  <sheetProtection selectLockedCells="1"/>
  <mergeCells count="34">
    <mergeCell ref="D62:F62"/>
    <mergeCell ref="D64:F64"/>
    <mergeCell ref="D65:F65"/>
    <mergeCell ref="B55:C55"/>
    <mergeCell ref="B56:C56"/>
    <mergeCell ref="B57:C57"/>
    <mergeCell ref="B58:C58"/>
    <mergeCell ref="D61:F61"/>
    <mergeCell ref="B48:C48"/>
    <mergeCell ref="B53:C53"/>
    <mergeCell ref="B54:C54"/>
    <mergeCell ref="B47:C47"/>
    <mergeCell ref="G52:N52"/>
    <mergeCell ref="E47:G47"/>
    <mergeCell ref="E48:G48"/>
    <mergeCell ref="B41:C41"/>
    <mergeCell ref="B42:C42"/>
    <mergeCell ref="B43:C43"/>
    <mergeCell ref="E41:G41"/>
    <mergeCell ref="E42:G42"/>
    <mergeCell ref="E43:G43"/>
    <mergeCell ref="B44:C44"/>
    <mergeCell ref="B45:C45"/>
    <mergeCell ref="B46:C46"/>
    <mergeCell ref="E44:G44"/>
    <mergeCell ref="E45:G45"/>
    <mergeCell ref="E46:G46"/>
    <mergeCell ref="B40:C40"/>
    <mergeCell ref="A1:N1"/>
    <mergeCell ref="F3:H3"/>
    <mergeCell ref="I3:M3"/>
    <mergeCell ref="F22:H22"/>
    <mergeCell ref="I22:M22"/>
    <mergeCell ref="E40:G40"/>
  </mergeCells>
  <conditionalFormatting sqref="C5:C17 C24:C36">
    <cfRule type="cellIs" dxfId="0" priority="1" operator="equal">
      <formula>"Oui"</formula>
    </cfRule>
  </conditionalFormatting>
  <dataValidations count="3">
    <dataValidation type="list" allowBlank="1" showInputMessage="1" showErrorMessage="1" sqref="C19 C5:C17">
      <formula1>"Oui,Non"</formula1>
    </dataValidation>
    <dataValidation type="list" allowBlank="1" showInputMessage="1" showErrorMessage="1" sqref="E5:E17">
      <formula1>INDIRECT(P5)</formula1>
    </dataValidation>
    <dataValidation type="list" allowBlank="1" showInputMessage="1" showErrorMessage="1" sqref="D5:D17 D41:E48">
      <formula1>RefStuctures</formula1>
    </dataValidation>
  </dataValidations>
  <printOptions horizontalCentered="1" verticalCentered="1"/>
  <pageMargins left="0.39370078740157483" right="0.23622047244094491" top="0.39370078740157483" bottom="0.74803149606299213" header="0.31496062992125984" footer="0.31496062992125984"/>
  <pageSetup paperSize="9" scale="56" orientation="landscape" r:id="rId1"/>
  <headerFooter>
    <oddFooter>&amp;RPage 4/7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F100"/>
  <sheetViews>
    <sheetView zoomScale="90" zoomScaleNormal="90" zoomScalePageLayoutView="55" workbookViewId="0">
      <selection activeCell="E24" sqref="E24"/>
    </sheetView>
  </sheetViews>
  <sheetFormatPr baseColWidth="10" defaultColWidth="11.42578125" defaultRowHeight="12.75" outlineLevelCol="1" x14ac:dyDescent="0.2"/>
  <cols>
    <col min="1" max="1" width="10.42578125" style="9" customWidth="1"/>
    <col min="2" max="2" width="53.42578125" style="9" bestFit="1" customWidth="1"/>
    <col min="3" max="3" width="35.7109375" style="9" customWidth="1"/>
    <col min="4" max="4" width="28.140625" style="9" customWidth="1"/>
    <col min="5" max="5" width="11.42578125" style="9"/>
    <col min="6" max="6" width="11" style="9" customWidth="1"/>
    <col min="7" max="13" width="11.42578125" style="9"/>
    <col min="14" max="21" width="11.42578125" style="9" hidden="1" customWidth="1" outlineLevel="1"/>
    <col min="22" max="22" width="26.85546875" style="9" customWidth="1" collapsed="1"/>
    <col min="23" max="23" width="11.42578125" style="9"/>
    <col min="24" max="24" width="16.42578125" style="620" bestFit="1" customWidth="1"/>
    <col min="25" max="16384" width="11.42578125" style="9"/>
  </cols>
  <sheetData>
    <row r="1" spans="1:24" ht="21.75" customHeight="1" x14ac:dyDescent="0.2">
      <c r="A1" s="701" t="s">
        <v>243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</row>
    <row r="3" spans="1:24" x14ac:dyDescent="0.2">
      <c r="A3" s="39" t="s">
        <v>158</v>
      </c>
      <c r="B3" s="39"/>
      <c r="C3" s="38"/>
      <c r="D3" s="38"/>
      <c r="E3" s="758" t="s">
        <v>86</v>
      </c>
      <c r="F3" s="759"/>
      <c r="G3" s="759"/>
      <c r="H3" s="759"/>
      <c r="I3" s="759"/>
      <c r="J3" s="759"/>
      <c r="K3" s="759"/>
      <c r="L3" s="759"/>
      <c r="M3" s="760"/>
      <c r="N3" s="757" t="s">
        <v>87</v>
      </c>
      <c r="O3" s="704"/>
      <c r="P3" s="704"/>
      <c r="Q3" s="705"/>
      <c r="R3" s="705"/>
      <c r="S3" s="705"/>
      <c r="T3" s="705"/>
      <c r="U3" s="706"/>
      <c r="V3" s="38"/>
    </row>
    <row r="4" spans="1:24" ht="51" x14ac:dyDescent="0.2">
      <c r="A4" s="97" t="s">
        <v>200</v>
      </c>
      <c r="B4" s="97" t="s">
        <v>134</v>
      </c>
      <c r="C4" s="98" t="s">
        <v>55</v>
      </c>
      <c r="D4" s="100" t="s">
        <v>56</v>
      </c>
      <c r="E4" s="97" t="s">
        <v>151</v>
      </c>
      <c r="F4" s="101" t="s">
        <v>150</v>
      </c>
      <c r="G4" s="98" t="s">
        <v>46</v>
      </c>
      <c r="H4" s="98" t="s">
        <v>157</v>
      </c>
      <c r="I4" s="98" t="s">
        <v>144</v>
      </c>
      <c r="J4" s="98" t="s">
        <v>143</v>
      </c>
      <c r="K4" s="98" t="s">
        <v>152</v>
      </c>
      <c r="L4" s="98" t="s">
        <v>102</v>
      </c>
      <c r="M4" s="99" t="s">
        <v>77</v>
      </c>
      <c r="N4" s="97" t="s">
        <v>47</v>
      </c>
      <c r="O4" s="101" t="s">
        <v>150</v>
      </c>
      <c r="P4" s="98" t="s">
        <v>46</v>
      </c>
      <c r="Q4" s="98" t="s">
        <v>147</v>
      </c>
      <c r="R4" s="98" t="s">
        <v>148</v>
      </c>
      <c r="S4" s="98" t="s">
        <v>154</v>
      </c>
      <c r="T4" s="98" t="s">
        <v>102</v>
      </c>
      <c r="U4" s="99" t="s">
        <v>49</v>
      </c>
      <c r="V4" s="61" t="s">
        <v>260</v>
      </c>
    </row>
    <row r="5" spans="1:24" x14ac:dyDescent="0.2">
      <c r="A5" s="116"/>
      <c r="B5" s="117"/>
      <c r="C5" s="119"/>
      <c r="D5" s="120"/>
      <c r="E5" s="640"/>
      <c r="F5" s="641"/>
      <c r="G5" s="251" t="str">
        <f>IF(D5="","",VLOOKUP(D5,'Intervenants et coûts-j'!$C$15:$F$45,3,FALSE))</f>
        <v/>
      </c>
      <c r="H5" s="251" t="str">
        <f>IF(D5="","",VLOOKUP(D5,'Intervenants et coûts-j'!$C$15:$F$45,4,FALSE))</f>
        <v/>
      </c>
      <c r="I5" s="251" t="str">
        <f>IF(E5="","",H5*E5)</f>
        <v/>
      </c>
      <c r="J5" s="251" t="str">
        <f>IF(C5="","",IF(VLOOKUP(C5,'Intervenants et coûts-j'!$B$4:$E$12,4,FALSE)="Oui",I5*0.15,0))</f>
        <v/>
      </c>
      <c r="K5" s="252" t="str">
        <f>IF(F5="","",H5*F5*0.1)</f>
        <v/>
      </c>
      <c r="L5" s="252" t="str">
        <f>IF(B5="","",IF(LEFT(B5,18)="Réunion collective",350,""))</f>
        <v/>
      </c>
      <c r="M5" s="253" t="str">
        <f>IF(J5="","",MIN(L5,I5+J5+K5))</f>
        <v/>
      </c>
      <c r="N5" s="285"/>
      <c r="O5" s="286"/>
      <c r="P5" s="251" t="str">
        <f>IF(D5="","",VLOOKUP(D5,'Intervenants et coûts-j'!$C$15:$F$45,4,FALSE))</f>
        <v/>
      </c>
      <c r="Q5" s="251" t="str">
        <f>IF(N5="","",P5*N5)</f>
        <v/>
      </c>
      <c r="R5" s="251" t="str">
        <f>IF(N5="","",IF(VLOOKUP(C5,'Intervenants et coûts-j'!$B$4:$E$12,4,FALSE)="Oui",Q5*0.15,0))</f>
        <v/>
      </c>
      <c r="S5" s="252" t="str">
        <f>IF(O5="","",P5*O5*0.1)</f>
        <v/>
      </c>
      <c r="T5" s="252" t="str">
        <f>IF(B5="","",IF(LEFT(B5,18)="Réunion collective",350,""))</f>
        <v/>
      </c>
      <c r="U5" s="253" t="str">
        <f>IF(R5="","",MIN(T5,Q5+R5+S5))</f>
        <v/>
      </c>
      <c r="V5" s="254"/>
      <c r="W5" s="602"/>
      <c r="X5" s="255" t="e">
        <f>"ListeIntervenants"&amp;VLOOKUP(C5,'Intervenants et coûts-j'!$B$5:$C$12,2,FALSE)</f>
        <v>#N/A</v>
      </c>
    </row>
    <row r="6" spans="1:24" x14ac:dyDescent="0.2">
      <c r="A6" s="122"/>
      <c r="B6" s="117"/>
      <c r="C6" s="119"/>
      <c r="D6" s="120"/>
      <c r="E6" s="642"/>
      <c r="F6" s="643"/>
      <c r="G6" s="256" t="str">
        <f>IF(D6="","",VLOOKUP(D6,'Intervenants et coûts-j'!$C$15:$F$45,3,FALSE))</f>
        <v/>
      </c>
      <c r="H6" s="256" t="str">
        <f>IF(D6="","",VLOOKUP(D6,'Intervenants et coûts-j'!$C$15:$F$45,4,FALSE))</f>
        <v/>
      </c>
      <c r="I6" s="256" t="str">
        <f t="shared" ref="I6:I58" si="0">IF(E6="","",H6*E6)</f>
        <v/>
      </c>
      <c r="J6" s="256" t="str">
        <f>IF(C6="","",IF(VLOOKUP(C6,'Intervenants et coûts-j'!$B$4:$E$12,4,FALSE)="Oui",I6*0.15,0))</f>
        <v/>
      </c>
      <c r="K6" s="257" t="str">
        <f t="shared" ref="K6:K58" si="1">IF(F6="","",H6*F6*0.1)</f>
        <v/>
      </c>
      <c r="L6" s="257" t="str">
        <f>IF(B6="","",IF(LEFT(B6,18)="Réunion collective",350-SUMIF(B5,B6,M5),""))</f>
        <v/>
      </c>
      <c r="M6" s="258" t="str">
        <f t="shared" ref="M6:M58" si="2">IF(J6="","",MIN(L6,I6+J6+K6))</f>
        <v/>
      </c>
      <c r="N6" s="287"/>
      <c r="O6" s="288"/>
      <c r="P6" s="256" t="str">
        <f>IF(D6="","",VLOOKUP(D6,'Intervenants et coûts-j'!$C$15:$F$45,4,FALSE))</f>
        <v/>
      </c>
      <c r="Q6" s="257" t="str">
        <f t="shared" ref="Q6:Q58" si="3">IF(N6="","",N6*P6)</f>
        <v/>
      </c>
      <c r="R6" s="256" t="str">
        <f>IF(N6="","",IF(VLOOKUP(C6,'Intervenants et coûts-j'!$B$4:$E$12,4,FALSE)="Oui",Q6*0.15,0))</f>
        <v/>
      </c>
      <c r="S6" s="257" t="str">
        <f t="shared" ref="S6:S58" si="4">IF(O6="","",P6*O6*0.1)</f>
        <v/>
      </c>
      <c r="T6" s="259" t="str">
        <f>IF(B6="","",IF(LEFT(B6,18)="Réunion collective",350-SUMIF(B5,B6,U5),""))</f>
        <v/>
      </c>
      <c r="U6" s="258" t="str">
        <f t="shared" ref="U6:U58" si="5">IF(R6="","",MIN(T6,Q6+R6+S6))</f>
        <v/>
      </c>
      <c r="V6" s="260"/>
      <c r="X6" s="255" t="e">
        <f>"ListeIntervenants"&amp;VLOOKUP(C6,'Intervenants et coûts-j'!$B$5:$C$12,2,FALSE)</f>
        <v>#N/A</v>
      </c>
    </row>
    <row r="7" spans="1:24" x14ac:dyDescent="0.2">
      <c r="A7" s="122"/>
      <c r="B7" s="117"/>
      <c r="C7" s="124"/>
      <c r="D7" s="120"/>
      <c r="E7" s="642"/>
      <c r="F7" s="643"/>
      <c r="G7" s="256" t="str">
        <f>IF(D7="","",VLOOKUP(D7,'Intervenants et coûts-j'!$C$15:$F$45,3,FALSE))</f>
        <v/>
      </c>
      <c r="H7" s="256" t="str">
        <f>IF(D7="","",VLOOKUP(D7,'Intervenants et coûts-j'!$C$15:$F$45,4,FALSE))</f>
        <v/>
      </c>
      <c r="I7" s="256" t="str">
        <f t="shared" si="0"/>
        <v/>
      </c>
      <c r="J7" s="256" t="str">
        <f>IF(C7="","",IF(VLOOKUP(C7,'Intervenants et coûts-j'!$B$4:$E$12,4,FALSE)="Oui",I7*0.15,0))</f>
        <v/>
      </c>
      <c r="K7" s="257" t="str">
        <f t="shared" si="1"/>
        <v/>
      </c>
      <c r="L7" s="257" t="str">
        <f>IF(B7="","",IF(LEFT(B7,18)="Réunion collective",350-SUMIF($B$5:B6,B7,$M$5:M6),""))</f>
        <v/>
      </c>
      <c r="M7" s="258" t="str">
        <f t="shared" si="2"/>
        <v/>
      </c>
      <c r="N7" s="287"/>
      <c r="O7" s="288"/>
      <c r="P7" s="256" t="str">
        <f>IF(D7="","",VLOOKUP(D7,'Intervenants et coûts-j'!$C$15:$F$45,4,FALSE))</f>
        <v/>
      </c>
      <c r="Q7" s="257" t="str">
        <f t="shared" ref="Q7:Q12" si="6">IF(N7="","",N7*P7)</f>
        <v/>
      </c>
      <c r="R7" s="256" t="str">
        <f>IF(N7="","",IF(VLOOKUP(C7,'Intervenants et coûts-j'!$B$4:$E$12,4,FALSE)="Oui",Q7*0.15,0))</f>
        <v/>
      </c>
      <c r="S7" s="257" t="str">
        <f t="shared" si="4"/>
        <v/>
      </c>
      <c r="T7" s="259" t="str">
        <f>IF(B7="","",IF(LEFT(B7,18)="Réunion collective",350-SUMIF($B$5:B6,B7,$U$5:U6),""))</f>
        <v/>
      </c>
      <c r="U7" s="258" t="str">
        <f t="shared" si="5"/>
        <v/>
      </c>
      <c r="V7" s="260"/>
      <c r="X7" s="255" t="e">
        <f>"ListeIntervenants"&amp;VLOOKUP(C7,'Intervenants et coûts-j'!$B$5:$C$12,2,FALSE)</f>
        <v>#N/A</v>
      </c>
    </row>
    <row r="8" spans="1:24" x14ac:dyDescent="0.2">
      <c r="A8" s="122"/>
      <c r="B8" s="117"/>
      <c r="C8" s="124"/>
      <c r="D8" s="120"/>
      <c r="E8" s="642"/>
      <c r="F8" s="643"/>
      <c r="G8" s="256" t="str">
        <f>IF(D8="","",VLOOKUP(D8,'Intervenants et coûts-j'!$C$15:$F$45,3,FALSE))</f>
        <v/>
      </c>
      <c r="H8" s="256" t="str">
        <f>IF(D8="","",VLOOKUP(D8,'Intervenants et coûts-j'!$C$15:$F$45,4,FALSE))</f>
        <v/>
      </c>
      <c r="I8" s="256" t="str">
        <f t="shared" si="0"/>
        <v/>
      </c>
      <c r="J8" s="256" t="str">
        <f>IF(C8="","",IF(VLOOKUP(C8,'Intervenants et coûts-j'!$B$4:$E$12,4,FALSE)="Oui",I8*0.15,0))</f>
        <v/>
      </c>
      <c r="K8" s="257" t="str">
        <f t="shared" si="1"/>
        <v/>
      </c>
      <c r="L8" s="257" t="str">
        <f>IF(B8="","",IF(LEFT(B8,18)="Réunion collective",350-SUMIF($B$5:B7,B8,$M$5:M7),""))</f>
        <v/>
      </c>
      <c r="M8" s="258" t="str">
        <f t="shared" si="2"/>
        <v/>
      </c>
      <c r="N8" s="287"/>
      <c r="O8" s="288"/>
      <c r="P8" s="256" t="str">
        <f>IF(D8="","",VLOOKUP(D8,'Intervenants et coûts-j'!$C$15:$F$45,4,FALSE))</f>
        <v/>
      </c>
      <c r="Q8" s="257" t="str">
        <f t="shared" si="6"/>
        <v/>
      </c>
      <c r="R8" s="256" t="str">
        <f>IF(N8="","",IF(VLOOKUP(C8,'Intervenants et coûts-j'!$B$4:$E$12,4,FALSE)="Oui",Q8*0.15,0))</f>
        <v/>
      </c>
      <c r="S8" s="257" t="str">
        <f t="shared" si="4"/>
        <v/>
      </c>
      <c r="T8" s="259" t="str">
        <f>IF(B8="","",IF(LEFT(B8,18)="Réunion collective",350-SUMIF($B$5:B7,B8,$U$5:U7),""))</f>
        <v/>
      </c>
      <c r="U8" s="258" t="str">
        <f t="shared" si="5"/>
        <v/>
      </c>
      <c r="V8" s="260"/>
      <c r="X8" s="255" t="e">
        <f>"ListeIntervenants"&amp;VLOOKUP(C8,'Intervenants et coûts-j'!$B$5:$C$12,2,FALSE)</f>
        <v>#N/A</v>
      </c>
    </row>
    <row r="9" spans="1:24" x14ac:dyDescent="0.2">
      <c r="A9" s="122"/>
      <c r="B9" s="117"/>
      <c r="C9" s="124"/>
      <c r="D9" s="120"/>
      <c r="E9" s="642"/>
      <c r="F9" s="643"/>
      <c r="G9" s="256" t="str">
        <f>IF(D9="","",VLOOKUP(D9,'Intervenants et coûts-j'!$C$15:$F$45,3,FALSE))</f>
        <v/>
      </c>
      <c r="H9" s="256" t="str">
        <f>IF(D9="","",VLOOKUP(D9,'Intervenants et coûts-j'!$C$15:$F$45,4,FALSE))</f>
        <v/>
      </c>
      <c r="I9" s="256" t="str">
        <f t="shared" si="0"/>
        <v/>
      </c>
      <c r="J9" s="256" t="str">
        <f>IF(C9="","",IF(VLOOKUP(C9,'Intervenants et coûts-j'!$B$4:$E$12,4,FALSE)="Oui",I9*0.15,0))</f>
        <v/>
      </c>
      <c r="K9" s="257" t="str">
        <f t="shared" si="1"/>
        <v/>
      </c>
      <c r="L9" s="257" t="str">
        <f>IF(B9="","",IF(LEFT(B9,18)="Réunion collective",350-SUMIF($B$5:B8,B9,$M$5:M8),""))</f>
        <v/>
      </c>
      <c r="M9" s="258" t="str">
        <f t="shared" si="2"/>
        <v/>
      </c>
      <c r="N9" s="287"/>
      <c r="O9" s="288"/>
      <c r="P9" s="256" t="str">
        <f>IF(D9="","",VLOOKUP(D9,'Intervenants et coûts-j'!$C$15:$F$45,4,FALSE))</f>
        <v/>
      </c>
      <c r="Q9" s="257" t="str">
        <f t="shared" si="6"/>
        <v/>
      </c>
      <c r="R9" s="256" t="str">
        <f>IF(N9="","",IF(VLOOKUP(C9,'Intervenants et coûts-j'!$B$4:$E$12,4,FALSE)="Oui",Q9*0.15,0))</f>
        <v/>
      </c>
      <c r="S9" s="257" t="str">
        <f t="shared" si="4"/>
        <v/>
      </c>
      <c r="T9" s="259" t="e">
        <f>IF(#REF!="","",IF(LEFT(#REF!,18)="Réunion collective",350-SUMIF($B$5:B8,#REF!,$U$5:U8),""))</f>
        <v>#REF!</v>
      </c>
      <c r="U9" s="258" t="str">
        <f t="shared" si="5"/>
        <v/>
      </c>
      <c r="V9" s="260"/>
      <c r="X9" s="255" t="e">
        <f>"ListeIntervenants"&amp;VLOOKUP(C9,'Intervenants et coûts-j'!$B$5:$C$12,2,FALSE)</f>
        <v>#N/A</v>
      </c>
    </row>
    <row r="10" spans="1:24" x14ac:dyDescent="0.2">
      <c r="A10" s="122"/>
      <c r="B10" s="117"/>
      <c r="C10" s="124"/>
      <c r="D10" s="120"/>
      <c r="E10" s="642"/>
      <c r="F10" s="643"/>
      <c r="G10" s="256" t="str">
        <f>IF(D10="","",VLOOKUP(D10,'Intervenants et coûts-j'!$C$15:$F$45,3,FALSE))</f>
        <v/>
      </c>
      <c r="H10" s="256" t="str">
        <f>IF(D10="","",VLOOKUP(D10,'Intervenants et coûts-j'!$C$15:$F$45,4,FALSE))</f>
        <v/>
      </c>
      <c r="I10" s="256" t="str">
        <f t="shared" si="0"/>
        <v/>
      </c>
      <c r="J10" s="256" t="str">
        <f>IF(C10="","",IF(VLOOKUP(C10,'Intervenants et coûts-j'!$B$4:$E$12,4,FALSE)="Oui",I10*0.15,0))</f>
        <v/>
      </c>
      <c r="K10" s="257" t="str">
        <f t="shared" si="1"/>
        <v/>
      </c>
      <c r="L10" s="257" t="str">
        <f>IF(B10="","",IF(LEFT(B10,18)="Réunion collective",350-SUMIF($B$5:B9,B10,$M$5:M9),""))</f>
        <v/>
      </c>
      <c r="M10" s="258" t="str">
        <f t="shared" si="2"/>
        <v/>
      </c>
      <c r="N10" s="287"/>
      <c r="O10" s="288"/>
      <c r="P10" s="256" t="str">
        <f>IF(D10="","",VLOOKUP(D10,'Intervenants et coûts-j'!$C$15:$F$45,4,FALSE))</f>
        <v/>
      </c>
      <c r="Q10" s="257" t="str">
        <f t="shared" si="6"/>
        <v/>
      </c>
      <c r="R10" s="256" t="str">
        <f>IF(N10="","",IF(VLOOKUP(C10,'Intervenants et coûts-j'!$B$4:$E$12,4,FALSE)="Oui",Q10*0.15,0))</f>
        <v/>
      </c>
      <c r="S10" s="257" t="str">
        <f t="shared" si="4"/>
        <v/>
      </c>
      <c r="T10" s="259" t="str">
        <f>IF(B9="","",IF(LEFT(B9,18)="Réunion collective",350-SUMIF($B$5:B8,B9,$U$5:U9),""))</f>
        <v/>
      </c>
      <c r="U10" s="258" t="str">
        <f t="shared" si="5"/>
        <v/>
      </c>
      <c r="V10" s="260"/>
      <c r="X10" s="255" t="e">
        <f>"ListeIntervenants"&amp;VLOOKUP(C10,'Intervenants et coûts-j'!$B$5:$C$12,2,FALSE)</f>
        <v>#N/A</v>
      </c>
    </row>
    <row r="11" spans="1:24" x14ac:dyDescent="0.2">
      <c r="A11" s="122"/>
      <c r="B11" s="117"/>
      <c r="C11" s="124"/>
      <c r="D11" s="120"/>
      <c r="E11" s="642"/>
      <c r="F11" s="643"/>
      <c r="G11" s="256" t="str">
        <f>IF(D11="","",VLOOKUP(D11,'Intervenants et coûts-j'!$C$15:$F$45,3,FALSE))</f>
        <v/>
      </c>
      <c r="H11" s="256" t="str">
        <f>IF(D11="","",VLOOKUP(D11,'Intervenants et coûts-j'!$C$15:$F$45,4,FALSE))</f>
        <v/>
      </c>
      <c r="I11" s="256" t="str">
        <f t="shared" si="0"/>
        <v/>
      </c>
      <c r="J11" s="256" t="str">
        <f>IF(C11="","",IF(VLOOKUP(C11,'Intervenants et coûts-j'!$B$4:$E$12,4,FALSE)="Oui",I11*0.15,0))</f>
        <v/>
      </c>
      <c r="K11" s="257" t="str">
        <f t="shared" si="1"/>
        <v/>
      </c>
      <c r="L11" s="257" t="str">
        <f>IF(B11="","",IF(LEFT(B11,18)="Réunion collective",350-SUMIF($B$5:B10,B11,$M$5:M10),""))</f>
        <v/>
      </c>
      <c r="M11" s="258" t="str">
        <f t="shared" si="2"/>
        <v/>
      </c>
      <c r="N11" s="287"/>
      <c r="O11" s="288"/>
      <c r="P11" s="256" t="str">
        <f>IF(D11="","",VLOOKUP(D11,'Intervenants et coûts-j'!$C$15:$F$45,4,FALSE))</f>
        <v/>
      </c>
      <c r="Q11" s="257" t="str">
        <f t="shared" si="6"/>
        <v/>
      </c>
      <c r="R11" s="256" t="str">
        <f>IF(N11="","",IF(VLOOKUP(C11,'Intervenants et coûts-j'!$B$4:$E$12,4,FALSE)="Oui",Q11*0.15,0))</f>
        <v/>
      </c>
      <c r="S11" s="257" t="str">
        <f t="shared" si="4"/>
        <v/>
      </c>
      <c r="T11" s="259" t="str">
        <f>IF(B10="","",IF(LEFT(B10,18)="Réunion collective",350-SUMIF($B$5:B9,B10,$U$5:U10),""))</f>
        <v/>
      </c>
      <c r="U11" s="258" t="str">
        <f t="shared" si="5"/>
        <v/>
      </c>
      <c r="V11" s="260"/>
      <c r="X11" s="255" t="e">
        <f>"ListeIntervenants"&amp;VLOOKUP(C11,'Intervenants et coûts-j'!$B$5:$C$12,2,FALSE)</f>
        <v>#N/A</v>
      </c>
    </row>
    <row r="12" spans="1:24" x14ac:dyDescent="0.2">
      <c r="A12" s="122"/>
      <c r="B12" s="126"/>
      <c r="C12" s="124"/>
      <c r="D12" s="120"/>
      <c r="E12" s="642"/>
      <c r="F12" s="643"/>
      <c r="G12" s="256" t="str">
        <f>IF(D12="","",VLOOKUP(D12,'Intervenants et coûts-j'!$C$15:$F$45,3,FALSE))</f>
        <v/>
      </c>
      <c r="H12" s="256" t="str">
        <f>IF(D12="","",VLOOKUP(D12,'Intervenants et coûts-j'!$C$15:$F$45,4,FALSE))</f>
        <v/>
      </c>
      <c r="I12" s="256" t="str">
        <f t="shared" si="0"/>
        <v/>
      </c>
      <c r="J12" s="256" t="str">
        <f>IF(C12="","",IF(VLOOKUP(C12,'Intervenants et coûts-j'!$B$4:$E$12,4,FALSE)="Oui",I12*0.15,0))</f>
        <v/>
      </c>
      <c r="K12" s="257" t="str">
        <f t="shared" si="1"/>
        <v/>
      </c>
      <c r="L12" s="257" t="str">
        <f>IF(B12="","",IF(LEFT(B12,18)="Réunion collective",350-SUMIF($B$5:B11,B12,$M$5:M11),""))</f>
        <v/>
      </c>
      <c r="M12" s="258" t="str">
        <f t="shared" si="2"/>
        <v/>
      </c>
      <c r="N12" s="287"/>
      <c r="O12" s="288"/>
      <c r="P12" s="256" t="str">
        <f>IF(D12="","",VLOOKUP(D12,'Intervenants et coûts-j'!$C$15:$F$45,4,FALSE))</f>
        <v/>
      </c>
      <c r="Q12" s="257" t="str">
        <f t="shared" si="6"/>
        <v/>
      </c>
      <c r="R12" s="256" t="str">
        <f>IF(N12="","",IF(VLOOKUP(C12,'Intervenants et coûts-j'!$B$4:$E$12,4,FALSE)="Oui",Q12*0.15,0))</f>
        <v/>
      </c>
      <c r="S12" s="257" t="str">
        <f t="shared" si="4"/>
        <v/>
      </c>
      <c r="T12" s="259" t="str">
        <f>IF(B11="","",IF(LEFT(B11,18)="Réunion collective",350-SUMIF($B$5:B10,B11,$U$5:U11),""))</f>
        <v/>
      </c>
      <c r="U12" s="258" t="str">
        <f t="shared" si="5"/>
        <v/>
      </c>
      <c r="V12" s="260"/>
      <c r="X12" s="255" t="e">
        <f>"ListeIntervenants"&amp;VLOOKUP(C12,'Intervenants et coûts-j'!$B$5:$C$12,2,FALSE)</f>
        <v>#N/A</v>
      </c>
    </row>
    <row r="13" spans="1:24" x14ac:dyDescent="0.2">
      <c r="A13" s="122"/>
      <c r="B13" s="126"/>
      <c r="C13" s="124"/>
      <c r="D13" s="120"/>
      <c r="E13" s="642"/>
      <c r="F13" s="643"/>
      <c r="G13" s="256" t="str">
        <f>IF(D13="","",VLOOKUP(D13,'Intervenants et coûts-j'!$C$15:$F$45,3,FALSE))</f>
        <v/>
      </c>
      <c r="H13" s="256" t="str">
        <f>IF(D13="","",VLOOKUP(D13,'Intervenants et coûts-j'!$C$15:$F$45,4,FALSE))</f>
        <v/>
      </c>
      <c r="I13" s="256" t="str">
        <f t="shared" si="0"/>
        <v/>
      </c>
      <c r="J13" s="256" t="str">
        <f>IF(C13="","",IF(VLOOKUP(C13,'Intervenants et coûts-j'!$B$4:$E$12,4,FALSE)="Oui",I13*0.15,0))</f>
        <v/>
      </c>
      <c r="K13" s="257" t="str">
        <f t="shared" si="1"/>
        <v/>
      </c>
      <c r="L13" s="257" t="str">
        <f>IF(B13="","",IF(LEFT(B13,18)="Réunion collective",350-SUMIF($B$5:B12,B13,$M$5:M12),""))</f>
        <v/>
      </c>
      <c r="M13" s="258" t="str">
        <f t="shared" si="2"/>
        <v/>
      </c>
      <c r="N13" s="287"/>
      <c r="O13" s="288"/>
      <c r="P13" s="256" t="str">
        <f>IF(D13="","",VLOOKUP(D13,'Intervenants et coûts-j'!$C$15:$F$45,4,FALSE))</f>
        <v/>
      </c>
      <c r="Q13" s="257" t="str">
        <f t="shared" si="3"/>
        <v/>
      </c>
      <c r="R13" s="256" t="str">
        <f>IF(N13="","",IF(VLOOKUP(C13,'Intervenants et coûts-j'!$B$4:$E$12,4,FALSE)="Oui",Q13*0.15,0))</f>
        <v/>
      </c>
      <c r="S13" s="257" t="str">
        <f t="shared" si="4"/>
        <v/>
      </c>
      <c r="T13" s="259" t="str">
        <f>IF(B12="","",IF(LEFT(B12,18)="Réunion collective",350-SUMIF($B$5:B11,B12,$U$5:U12),""))</f>
        <v/>
      </c>
      <c r="U13" s="258" t="str">
        <f t="shared" si="5"/>
        <v/>
      </c>
      <c r="V13" s="260"/>
      <c r="X13" s="255" t="e">
        <f>"ListeIntervenants"&amp;VLOOKUP(C13,'Intervenants et coûts-j'!$B$5:$C$12,2,FALSE)</f>
        <v>#N/A</v>
      </c>
    </row>
    <row r="14" spans="1:24" x14ac:dyDescent="0.2">
      <c r="A14" s="122"/>
      <c r="B14" s="117"/>
      <c r="C14" s="124"/>
      <c r="D14" s="120"/>
      <c r="E14" s="642"/>
      <c r="F14" s="643"/>
      <c r="G14" s="256" t="str">
        <f>IF(D14="","",VLOOKUP(D14,'Intervenants et coûts-j'!$C$15:$F$45,3,FALSE))</f>
        <v/>
      </c>
      <c r="H14" s="256" t="str">
        <f>IF(D14="","",VLOOKUP(D14,'Intervenants et coûts-j'!$C$15:$F$45,4,FALSE))</f>
        <v/>
      </c>
      <c r="I14" s="256" t="str">
        <f t="shared" si="0"/>
        <v/>
      </c>
      <c r="J14" s="256" t="str">
        <f>IF(C14="","",IF(VLOOKUP(C14,'Intervenants et coûts-j'!$B$4:$E$12,4,FALSE)="Oui",I14*0.15,0))</f>
        <v/>
      </c>
      <c r="K14" s="257" t="str">
        <f t="shared" si="1"/>
        <v/>
      </c>
      <c r="L14" s="257" t="str">
        <f>IF(B14="","",IF(LEFT(B14,18)="Réunion collective",350-SUMIF($B$5:B13,B14,$M$5:M13),""))</f>
        <v/>
      </c>
      <c r="M14" s="258" t="str">
        <f t="shared" si="2"/>
        <v/>
      </c>
      <c r="N14" s="287"/>
      <c r="O14" s="288"/>
      <c r="P14" s="256" t="str">
        <f>IF(D14="","",VLOOKUP(D14,'Intervenants et coûts-j'!$C$15:$F$45,4,FALSE))</f>
        <v/>
      </c>
      <c r="Q14" s="257" t="str">
        <f t="shared" si="3"/>
        <v/>
      </c>
      <c r="R14" s="256" t="str">
        <f>IF(N14="","",IF(VLOOKUP(C14,'Intervenants et coûts-j'!$B$4:$E$12,4,FALSE)="Oui",Q14*0.15,0))</f>
        <v/>
      </c>
      <c r="S14" s="257" t="str">
        <f t="shared" si="4"/>
        <v/>
      </c>
      <c r="T14" s="259" t="str">
        <f>IF(B13="","",IF(LEFT(B13,18)="Réunion collective",350-SUMIF($B$5:B12,B13,$U$5:U13),""))</f>
        <v/>
      </c>
      <c r="U14" s="258" t="str">
        <f t="shared" si="5"/>
        <v/>
      </c>
      <c r="V14" s="260"/>
      <c r="X14" s="255" t="e">
        <f>"ListeIntervenants"&amp;VLOOKUP(C14,'Intervenants et coûts-j'!$B$5:$C$12,2,FALSE)</f>
        <v>#N/A</v>
      </c>
    </row>
    <row r="15" spans="1:24" x14ac:dyDescent="0.2">
      <c r="A15" s="122"/>
      <c r="B15" s="126"/>
      <c r="C15" s="124"/>
      <c r="D15" s="120"/>
      <c r="E15" s="642"/>
      <c r="F15" s="643"/>
      <c r="G15" s="256" t="str">
        <f>IF(D15="","",VLOOKUP(D15,'Intervenants et coûts-j'!$C$15:$F$45,3,FALSE))</f>
        <v/>
      </c>
      <c r="H15" s="256" t="str">
        <f>IF(D15="","",VLOOKUP(D15,'Intervenants et coûts-j'!$C$15:$F$45,4,FALSE))</f>
        <v/>
      </c>
      <c r="I15" s="256" t="str">
        <f t="shared" si="0"/>
        <v/>
      </c>
      <c r="J15" s="256" t="str">
        <f>IF(C15="","",IF(VLOOKUP(C15,'Intervenants et coûts-j'!$B$4:$E$12,4,FALSE)="Oui",I15*0.15,0))</f>
        <v/>
      </c>
      <c r="K15" s="257" t="str">
        <f t="shared" si="1"/>
        <v/>
      </c>
      <c r="L15" s="257" t="str">
        <f>IF(B15="","",IF(LEFT(B15,18)="Réunion collective",350-SUMIF($B$5:B14,B15,$M$5:M14),""))</f>
        <v/>
      </c>
      <c r="M15" s="258" t="str">
        <f t="shared" si="2"/>
        <v/>
      </c>
      <c r="N15" s="287"/>
      <c r="O15" s="288"/>
      <c r="P15" s="256" t="str">
        <f>IF(D15="","",VLOOKUP(D15,'Intervenants et coûts-j'!$C$15:$F$45,4,FALSE))</f>
        <v/>
      </c>
      <c r="Q15" s="257" t="str">
        <f t="shared" si="3"/>
        <v/>
      </c>
      <c r="R15" s="256" t="str">
        <f>IF(N15="","",IF(VLOOKUP(C15,'Intervenants et coûts-j'!$B$4:$E$12,4,FALSE)="Oui",Q15*0.15,0))</f>
        <v/>
      </c>
      <c r="S15" s="257" t="str">
        <f t="shared" si="4"/>
        <v/>
      </c>
      <c r="T15" s="259" t="str">
        <f>IF(B15="","",IF(LEFT(B15,18)="Réunion collective",350-SUMIF($B$5:B13,B15,$U$5:U14),""))</f>
        <v/>
      </c>
      <c r="U15" s="258" t="str">
        <f t="shared" si="5"/>
        <v/>
      </c>
      <c r="V15" s="260"/>
      <c r="X15" s="255" t="e">
        <f>"ListeIntervenants"&amp;VLOOKUP(C15,'Intervenants et coûts-j'!$B$5:$C$12,2,FALSE)</f>
        <v>#N/A</v>
      </c>
    </row>
    <row r="16" spans="1:24" x14ac:dyDescent="0.2">
      <c r="A16" s="122"/>
      <c r="B16" s="126"/>
      <c r="C16" s="124"/>
      <c r="D16" s="120"/>
      <c r="E16" s="642"/>
      <c r="F16" s="643"/>
      <c r="G16" s="256" t="str">
        <f>IF(D16="","",VLOOKUP(D16,'Intervenants et coûts-j'!$C$15:$F$45,3,FALSE))</f>
        <v/>
      </c>
      <c r="H16" s="256" t="str">
        <f>IF(D16="","",VLOOKUP(D16,'Intervenants et coûts-j'!$C$15:$F$45,4,FALSE))</f>
        <v/>
      </c>
      <c r="I16" s="256" t="str">
        <f t="shared" si="0"/>
        <v/>
      </c>
      <c r="J16" s="256" t="str">
        <f>IF(C16="","",IF(VLOOKUP(C16,'Intervenants et coûts-j'!$B$4:$E$12,4,FALSE)="Oui",I16*0.15,0))</f>
        <v/>
      </c>
      <c r="K16" s="257" t="str">
        <f t="shared" si="1"/>
        <v/>
      </c>
      <c r="L16" s="257" t="str">
        <f>IF(B16="","",IF(LEFT(B16,18)="Réunion collective",350-SUMIF($B$5:B15,B16,$M$5:M15),""))</f>
        <v/>
      </c>
      <c r="M16" s="258" t="str">
        <f t="shared" si="2"/>
        <v/>
      </c>
      <c r="N16" s="287"/>
      <c r="O16" s="288"/>
      <c r="P16" s="256" t="str">
        <f>IF(D16="","",VLOOKUP(D16,'Intervenants et coûts-j'!$C$15:$F$45,4,FALSE))</f>
        <v/>
      </c>
      <c r="Q16" s="257" t="str">
        <f t="shared" si="3"/>
        <v/>
      </c>
      <c r="R16" s="256" t="str">
        <f>IF(N16="","",IF(VLOOKUP(C16,'Intervenants et coûts-j'!$B$4:$E$12,4,FALSE)="Oui",Q16*0.15,0))</f>
        <v/>
      </c>
      <c r="S16" s="257" t="str">
        <f t="shared" si="4"/>
        <v/>
      </c>
      <c r="T16" s="259" t="str">
        <f>IF(B16="","",IF(LEFT(B16,18)="Réunion collective",350-SUMIF($B$5:B15,B16,$U$5:U15),""))</f>
        <v/>
      </c>
      <c r="U16" s="258" t="str">
        <f t="shared" si="5"/>
        <v/>
      </c>
      <c r="V16" s="260"/>
      <c r="X16" s="255" t="e">
        <f>"ListeIntervenants"&amp;VLOOKUP(C16,'Intervenants et coûts-j'!$B$5:$C$12,2,FALSE)</f>
        <v>#N/A</v>
      </c>
    </row>
    <row r="17" spans="1:24" x14ac:dyDescent="0.2">
      <c r="A17" s="122"/>
      <c r="B17" s="126"/>
      <c r="C17" s="124"/>
      <c r="D17" s="120"/>
      <c r="E17" s="642"/>
      <c r="F17" s="643"/>
      <c r="G17" s="256" t="str">
        <f>IF(D17="","",VLOOKUP(D17,'Intervenants et coûts-j'!$C$15:$F$45,3,FALSE))</f>
        <v/>
      </c>
      <c r="H17" s="256" t="str">
        <f>IF(D17="","",VLOOKUP(D17,'Intervenants et coûts-j'!$C$15:$F$45,4,FALSE))</f>
        <v/>
      </c>
      <c r="I17" s="256" t="str">
        <f t="shared" si="0"/>
        <v/>
      </c>
      <c r="J17" s="256" t="str">
        <f>IF(C17="","",IF(VLOOKUP(C17,'Intervenants et coûts-j'!$B$4:$E$12,4,FALSE)="Oui",I17*0.15,0))</f>
        <v/>
      </c>
      <c r="K17" s="257" t="str">
        <f t="shared" si="1"/>
        <v/>
      </c>
      <c r="L17" s="257" t="str">
        <f>IF(B17="","",IF(LEFT(B17,18)="Réunion collective",350-SUMIF($B$5:B16,B17,$M$5:M16),""))</f>
        <v/>
      </c>
      <c r="M17" s="258" t="str">
        <f t="shared" si="2"/>
        <v/>
      </c>
      <c r="N17" s="287"/>
      <c r="O17" s="288"/>
      <c r="P17" s="256" t="str">
        <f>IF(D17="","",VLOOKUP(D17,'Intervenants et coûts-j'!$C$15:$F$45,4,FALSE))</f>
        <v/>
      </c>
      <c r="Q17" s="257" t="str">
        <f t="shared" si="3"/>
        <v/>
      </c>
      <c r="R17" s="256" t="str">
        <f>IF(N17="","",IF(VLOOKUP(C17,'Intervenants et coûts-j'!$B$4:$E$12,4,FALSE)="Oui",Q17*0.15,0))</f>
        <v/>
      </c>
      <c r="S17" s="257" t="str">
        <f t="shared" si="4"/>
        <v/>
      </c>
      <c r="T17" s="259" t="str">
        <f>IF(B17="","",IF(LEFT(B17,18)="Réunion collective",350-SUMIF($B$5:B16,B17,$U$5:U16),""))</f>
        <v/>
      </c>
      <c r="U17" s="258" t="str">
        <f t="shared" si="5"/>
        <v/>
      </c>
      <c r="V17" s="260"/>
      <c r="X17" s="255" t="e">
        <f>"ListeIntervenants"&amp;VLOOKUP(C17,'Intervenants et coûts-j'!$B$5:$C$12,2,FALSE)</f>
        <v>#N/A</v>
      </c>
    </row>
    <row r="18" spans="1:24" x14ac:dyDescent="0.2">
      <c r="A18" s="122"/>
      <c r="B18" s="126"/>
      <c r="C18" s="124"/>
      <c r="D18" s="120"/>
      <c r="E18" s="642"/>
      <c r="F18" s="643"/>
      <c r="G18" s="256" t="str">
        <f>IF(D18="","",VLOOKUP(D18,'Intervenants et coûts-j'!$C$15:$F$45,3,FALSE))</f>
        <v/>
      </c>
      <c r="H18" s="256" t="str">
        <f>IF(D18="","",VLOOKUP(D18,'Intervenants et coûts-j'!$C$15:$F$45,4,FALSE))</f>
        <v/>
      </c>
      <c r="I18" s="256" t="str">
        <f t="shared" si="0"/>
        <v/>
      </c>
      <c r="J18" s="256" t="str">
        <f>IF(C18="","",IF(VLOOKUP(C18,'Intervenants et coûts-j'!$B$4:$E$12,4,FALSE)="Oui",I18*0.15,0))</f>
        <v/>
      </c>
      <c r="K18" s="257" t="str">
        <f t="shared" si="1"/>
        <v/>
      </c>
      <c r="L18" s="257" t="str">
        <f>IF(B18="","",IF(LEFT(B18,18)="Réunion collective",350-SUMIF($B$5:B17,B18,$M$5:M17),""))</f>
        <v/>
      </c>
      <c r="M18" s="258" t="str">
        <f t="shared" si="2"/>
        <v/>
      </c>
      <c r="N18" s="287"/>
      <c r="O18" s="288"/>
      <c r="P18" s="256" t="str">
        <f>IF(D18="","",VLOOKUP(D18,'Intervenants et coûts-j'!$C$15:$F$45,4,FALSE))</f>
        <v/>
      </c>
      <c r="Q18" s="257" t="str">
        <f t="shared" si="3"/>
        <v/>
      </c>
      <c r="R18" s="256" t="str">
        <f>IF(N18="","",IF(VLOOKUP(C18,'Intervenants et coûts-j'!$B$4:$E$12,4,FALSE)="Oui",Q18*0.15,0))</f>
        <v/>
      </c>
      <c r="S18" s="257" t="str">
        <f t="shared" si="4"/>
        <v/>
      </c>
      <c r="T18" s="259" t="str">
        <f>IF(B18="","",IF(LEFT(B18,18)="Réunion collective",350-SUMIF($B$5:B17,B18,$U$5:U17),""))</f>
        <v/>
      </c>
      <c r="U18" s="258" t="str">
        <f t="shared" si="5"/>
        <v/>
      </c>
      <c r="V18" s="260"/>
      <c r="X18" s="255" t="e">
        <f>"ListeIntervenants"&amp;VLOOKUP(C18,'Intervenants et coûts-j'!$B$5:$C$12,2,FALSE)</f>
        <v>#N/A</v>
      </c>
    </row>
    <row r="19" spans="1:24" x14ac:dyDescent="0.2">
      <c r="A19" s="122"/>
      <c r="B19" s="126"/>
      <c r="C19" s="124"/>
      <c r="D19" s="120"/>
      <c r="E19" s="642"/>
      <c r="F19" s="643"/>
      <c r="G19" s="256" t="str">
        <f>IF(D19="","",VLOOKUP(D19,'Intervenants et coûts-j'!$C$15:$F$45,3,FALSE))</f>
        <v/>
      </c>
      <c r="H19" s="256" t="str">
        <f>IF(D19="","",VLOOKUP(D19,'Intervenants et coûts-j'!$C$15:$F$45,4,FALSE))</f>
        <v/>
      </c>
      <c r="I19" s="256" t="str">
        <f t="shared" si="0"/>
        <v/>
      </c>
      <c r="J19" s="256" t="str">
        <f>IF(C19="","",IF(VLOOKUP(C19,'Intervenants et coûts-j'!$B$4:$E$12,4,FALSE)="Oui",I19*0.15,0))</f>
        <v/>
      </c>
      <c r="K19" s="257" t="str">
        <f t="shared" si="1"/>
        <v/>
      </c>
      <c r="L19" s="257" t="str">
        <f>IF(B19="","",IF(LEFT(B19,18)="Réunion collective",350-SUMIF($B$5:B18,B19,$M$5:M18),""))</f>
        <v/>
      </c>
      <c r="M19" s="258" t="str">
        <f t="shared" si="2"/>
        <v/>
      </c>
      <c r="N19" s="287"/>
      <c r="O19" s="288"/>
      <c r="P19" s="256" t="str">
        <f>IF(D19="","",VLOOKUP(D19,'Intervenants et coûts-j'!$C$15:$F$45,4,FALSE))</f>
        <v/>
      </c>
      <c r="Q19" s="257" t="str">
        <f t="shared" si="3"/>
        <v/>
      </c>
      <c r="R19" s="256" t="str">
        <f>IF(N19="","",IF(VLOOKUP(C19,'Intervenants et coûts-j'!$B$4:$E$12,4,FALSE)="Oui",Q19*0.15,0))</f>
        <v/>
      </c>
      <c r="S19" s="257" t="str">
        <f t="shared" si="4"/>
        <v/>
      </c>
      <c r="T19" s="259" t="str">
        <f>IF(B19="","",IF(LEFT(B19,18)="Réunion collective",350-SUMIF($B$5:B18,B19,$U$5:U18),""))</f>
        <v/>
      </c>
      <c r="U19" s="258" t="str">
        <f t="shared" si="5"/>
        <v/>
      </c>
      <c r="V19" s="260"/>
      <c r="X19" s="255" t="e">
        <f>"ListeIntervenants"&amp;VLOOKUP(C19,'Intervenants et coûts-j'!$B$5:$C$12,2,FALSE)</f>
        <v>#N/A</v>
      </c>
    </row>
    <row r="20" spans="1:24" x14ac:dyDescent="0.2">
      <c r="A20" s="122"/>
      <c r="B20" s="126"/>
      <c r="C20" s="124"/>
      <c r="D20" s="120"/>
      <c r="E20" s="642"/>
      <c r="F20" s="643"/>
      <c r="G20" s="256" t="str">
        <f>IF(D20="","",VLOOKUP(D20,'Intervenants et coûts-j'!$C$15:$F$45,3,FALSE))</f>
        <v/>
      </c>
      <c r="H20" s="256" t="str">
        <f>IF(D20="","",VLOOKUP(D20,'Intervenants et coûts-j'!$C$15:$F$45,4,FALSE))</f>
        <v/>
      </c>
      <c r="I20" s="256" t="str">
        <f t="shared" si="0"/>
        <v/>
      </c>
      <c r="J20" s="256" t="str">
        <f>IF(C20="","",IF(VLOOKUP(C20,'Intervenants et coûts-j'!$B$4:$E$12,4,FALSE)="Oui",I20*0.15,0))</f>
        <v/>
      </c>
      <c r="K20" s="257" t="str">
        <f t="shared" si="1"/>
        <v/>
      </c>
      <c r="L20" s="257" t="str">
        <f>IF(B20="","",IF(LEFT(B20,18)="Réunion collective",350-SUMIF($B$5:B19,B20,$M$5:M19),""))</f>
        <v/>
      </c>
      <c r="M20" s="258" t="str">
        <f t="shared" si="2"/>
        <v/>
      </c>
      <c r="N20" s="287"/>
      <c r="O20" s="288"/>
      <c r="P20" s="256" t="str">
        <f>IF(D20="","",VLOOKUP(D20,'Intervenants et coûts-j'!$C$15:$F$45,4,FALSE))</f>
        <v/>
      </c>
      <c r="Q20" s="257" t="str">
        <f t="shared" si="3"/>
        <v/>
      </c>
      <c r="R20" s="256" t="str">
        <f>IF(N20="","",IF(VLOOKUP(C20,'Intervenants et coûts-j'!$B$4:$E$12,4,FALSE)="Oui",Q20*0.15,0))</f>
        <v/>
      </c>
      <c r="S20" s="257" t="str">
        <f t="shared" si="4"/>
        <v/>
      </c>
      <c r="T20" s="259" t="str">
        <f>IF(B20="","",IF(LEFT(B20,18)="Réunion collective",350-SUMIF($B$5:B19,B20,$U$5:U19),""))</f>
        <v/>
      </c>
      <c r="U20" s="258" t="str">
        <f t="shared" si="5"/>
        <v/>
      </c>
      <c r="V20" s="260"/>
      <c r="X20" s="255" t="e">
        <f>"ListeIntervenants"&amp;VLOOKUP(C20,'Intervenants et coûts-j'!$B$5:$C$12,2,FALSE)</f>
        <v>#N/A</v>
      </c>
    </row>
    <row r="21" spans="1:24" x14ac:dyDescent="0.2">
      <c r="A21" s="122"/>
      <c r="B21" s="126"/>
      <c r="C21" s="124"/>
      <c r="D21" s="120"/>
      <c r="E21" s="642"/>
      <c r="F21" s="643"/>
      <c r="G21" s="256" t="str">
        <f>IF(D21="","",VLOOKUP(D21,'Intervenants et coûts-j'!$C$15:$F$45,3,FALSE))</f>
        <v/>
      </c>
      <c r="H21" s="256" t="str">
        <f>IF(D21="","",VLOOKUP(D21,'Intervenants et coûts-j'!$C$15:$F$45,4,FALSE))</f>
        <v/>
      </c>
      <c r="I21" s="256" t="str">
        <f t="shared" ref="I21:I56" si="7">IF(E21="","",H21*E21)</f>
        <v/>
      </c>
      <c r="J21" s="256" t="str">
        <f>IF(C21="","",IF(VLOOKUP(C21,'Intervenants et coûts-j'!$B$4:$E$12,4,FALSE)="Oui",I21*0.15,0))</f>
        <v/>
      </c>
      <c r="K21" s="257" t="str">
        <f t="shared" ref="K21:K56" si="8">IF(F21="","",H21*F21*0.1)</f>
        <v/>
      </c>
      <c r="L21" s="257" t="str">
        <f>IF(B21="","",IF(LEFT(B21,18)="Réunion collective",350-SUMIF($B$5:B20,B21,$M$5:M20),""))</f>
        <v/>
      </c>
      <c r="M21" s="258" t="str">
        <f t="shared" ref="M21:M56" si="9">IF(J21="","",MIN(L21,I21+J21+K21))</f>
        <v/>
      </c>
      <c r="N21" s="287"/>
      <c r="O21" s="288"/>
      <c r="P21" s="256" t="str">
        <f>IF(D21="","",VLOOKUP(D21,'Intervenants et coûts-j'!$C$15:$F$45,4,FALSE))</f>
        <v/>
      </c>
      <c r="Q21" s="257" t="str">
        <f t="shared" ref="Q21:Q56" si="10">IF(N21="","",N21*P21)</f>
        <v/>
      </c>
      <c r="R21" s="256" t="str">
        <f>IF(N21="","",IF(VLOOKUP(C21,'Intervenants et coûts-j'!$B$4:$E$12,4,FALSE)="Oui",Q21*0.15,0))</f>
        <v/>
      </c>
      <c r="S21" s="257" t="str">
        <f t="shared" ref="S21:S56" si="11">IF(O21="","",P21*O21*0.1)</f>
        <v/>
      </c>
      <c r="T21" s="259" t="str">
        <f>IF(B21="","",IF(LEFT(B21,18)="Réunion collective",350-SUMIF($B$5:B20,B21,$U$5:U20),""))</f>
        <v/>
      </c>
      <c r="U21" s="258" t="str">
        <f t="shared" ref="U21:U56" si="12">IF(R21="","",MIN(T21,Q21+R21+S21))</f>
        <v/>
      </c>
      <c r="V21" s="260"/>
      <c r="X21" s="255" t="e">
        <f>"ListeIntervenants"&amp;VLOOKUP(C21,'Intervenants et coûts-j'!$B$5:$C$12,2,FALSE)</f>
        <v>#N/A</v>
      </c>
    </row>
    <row r="22" spans="1:24" x14ac:dyDescent="0.2">
      <c r="A22" s="122"/>
      <c r="B22" s="126"/>
      <c r="C22" s="124"/>
      <c r="D22" s="120"/>
      <c r="E22" s="642"/>
      <c r="F22" s="643"/>
      <c r="G22" s="256" t="str">
        <f>IF(D22="","",VLOOKUP(D22,'Intervenants et coûts-j'!$C$15:$F$45,3,FALSE))</f>
        <v/>
      </c>
      <c r="H22" s="256" t="str">
        <f>IF(D22="","",VLOOKUP(D22,'Intervenants et coûts-j'!$C$15:$F$45,4,FALSE))</f>
        <v/>
      </c>
      <c r="I22" s="256" t="str">
        <f t="shared" si="7"/>
        <v/>
      </c>
      <c r="J22" s="256" t="str">
        <f>IF(C22="","",IF(VLOOKUP(C22,'Intervenants et coûts-j'!$B$4:$E$12,4,FALSE)="Oui",I22*0.15,0))</f>
        <v/>
      </c>
      <c r="K22" s="257" t="str">
        <f t="shared" si="8"/>
        <v/>
      </c>
      <c r="L22" s="257" t="str">
        <f>IF(B22="","",IF(LEFT(B22,18)="Réunion collective",350-SUMIF($B$5:B21,B22,$M$5:M21),""))</f>
        <v/>
      </c>
      <c r="M22" s="258" t="str">
        <f t="shared" si="9"/>
        <v/>
      </c>
      <c r="N22" s="287"/>
      <c r="O22" s="288"/>
      <c r="P22" s="256" t="str">
        <f>IF(D22="","",VLOOKUP(D22,'Intervenants et coûts-j'!$C$15:$F$45,4,FALSE))</f>
        <v/>
      </c>
      <c r="Q22" s="257" t="str">
        <f t="shared" si="10"/>
        <v/>
      </c>
      <c r="R22" s="256" t="str">
        <f>IF(N22="","",IF(VLOOKUP(C22,'Intervenants et coûts-j'!$B$4:$E$12,4,FALSE)="Oui",Q22*0.15,0))</f>
        <v/>
      </c>
      <c r="S22" s="257" t="str">
        <f t="shared" si="11"/>
        <v/>
      </c>
      <c r="T22" s="259" t="str">
        <f>IF(B22="","",IF(LEFT(B22,18)="Réunion collective",350-SUMIF($B$5:B21,B22,$U$5:U21),""))</f>
        <v/>
      </c>
      <c r="U22" s="258" t="str">
        <f t="shared" si="12"/>
        <v/>
      </c>
      <c r="V22" s="260"/>
      <c r="X22" s="255" t="e">
        <f>"ListeIntervenants"&amp;VLOOKUP(C22,'Intervenants et coûts-j'!$B$5:$C$12,2,FALSE)</f>
        <v>#N/A</v>
      </c>
    </row>
    <row r="23" spans="1:24" x14ac:dyDescent="0.2">
      <c r="A23" s="122"/>
      <c r="B23" s="126"/>
      <c r="C23" s="124"/>
      <c r="D23" s="120"/>
      <c r="E23" s="642"/>
      <c r="F23" s="643"/>
      <c r="G23" s="256" t="str">
        <f>IF(D23="","",VLOOKUP(D23,'Intervenants et coûts-j'!$C$15:$F$45,3,FALSE))</f>
        <v/>
      </c>
      <c r="H23" s="256" t="str">
        <f>IF(D23="","",VLOOKUP(D23,'Intervenants et coûts-j'!$C$15:$F$45,4,FALSE))</f>
        <v/>
      </c>
      <c r="I23" s="256" t="str">
        <f t="shared" si="7"/>
        <v/>
      </c>
      <c r="J23" s="256" t="str">
        <f>IF(C23="","",IF(VLOOKUP(C23,'Intervenants et coûts-j'!$B$4:$E$12,4,FALSE)="Oui",I23*0.15,0))</f>
        <v/>
      </c>
      <c r="K23" s="257" t="str">
        <f t="shared" si="8"/>
        <v/>
      </c>
      <c r="L23" s="257" t="str">
        <f>IF(B23="","",IF(LEFT(B23,18)="Réunion collective",350-SUMIF($B$5:B22,B23,$M$5:M22),""))</f>
        <v/>
      </c>
      <c r="M23" s="258" t="str">
        <f t="shared" si="9"/>
        <v/>
      </c>
      <c r="N23" s="287"/>
      <c r="O23" s="288"/>
      <c r="P23" s="256" t="str">
        <f>IF(D23="","",VLOOKUP(D23,'Intervenants et coûts-j'!$C$15:$F$45,4,FALSE))</f>
        <v/>
      </c>
      <c r="Q23" s="257" t="str">
        <f t="shared" si="10"/>
        <v/>
      </c>
      <c r="R23" s="256" t="str">
        <f>IF(N23="","",IF(VLOOKUP(C23,'Intervenants et coûts-j'!$B$4:$E$12,4,FALSE)="Oui",Q23*0.15,0))</f>
        <v/>
      </c>
      <c r="S23" s="257" t="str">
        <f t="shared" si="11"/>
        <v/>
      </c>
      <c r="T23" s="259" t="str">
        <f>IF(B23="","",IF(LEFT(B23,18)="Réunion collective",350-SUMIF($B$5:B22,B23,$U$5:U22),""))</f>
        <v/>
      </c>
      <c r="U23" s="258" t="str">
        <f t="shared" si="12"/>
        <v/>
      </c>
      <c r="V23" s="260"/>
      <c r="X23" s="255" t="e">
        <f>"ListeIntervenants"&amp;VLOOKUP(C23,'Intervenants et coûts-j'!$B$5:$C$12,2,FALSE)</f>
        <v>#N/A</v>
      </c>
    </row>
    <row r="24" spans="1:24" x14ac:dyDescent="0.2">
      <c r="A24" s="122"/>
      <c r="B24" s="126"/>
      <c r="C24" s="124"/>
      <c r="D24" s="120"/>
      <c r="E24" s="642"/>
      <c r="F24" s="643"/>
      <c r="G24" s="256" t="str">
        <f>IF(D24="","",VLOOKUP(D24,'Intervenants et coûts-j'!$C$15:$F$45,3,FALSE))</f>
        <v/>
      </c>
      <c r="H24" s="256" t="str">
        <f>IF(D24="","",VLOOKUP(D24,'Intervenants et coûts-j'!$C$15:$F$45,4,FALSE))</f>
        <v/>
      </c>
      <c r="I24" s="256" t="str">
        <f t="shared" si="7"/>
        <v/>
      </c>
      <c r="J24" s="256" t="str">
        <f>IF(C24="","",IF(VLOOKUP(C24,'Intervenants et coûts-j'!$B$4:$E$12,4,FALSE)="Oui",I24*0.15,0))</f>
        <v/>
      </c>
      <c r="K24" s="257" t="str">
        <f t="shared" si="8"/>
        <v/>
      </c>
      <c r="L24" s="257" t="str">
        <f>IF(B24="","",IF(LEFT(B24,18)="Réunion collective",350-SUMIF($B$5:B23,B24,$M$5:M23),""))</f>
        <v/>
      </c>
      <c r="M24" s="258" t="str">
        <f t="shared" si="9"/>
        <v/>
      </c>
      <c r="N24" s="287"/>
      <c r="O24" s="288"/>
      <c r="P24" s="256" t="str">
        <f>IF(D24="","",VLOOKUP(D24,'Intervenants et coûts-j'!$C$15:$F$45,4,FALSE))</f>
        <v/>
      </c>
      <c r="Q24" s="257" t="str">
        <f t="shared" si="10"/>
        <v/>
      </c>
      <c r="R24" s="256" t="str">
        <f>IF(N24="","",IF(VLOOKUP(C24,'Intervenants et coûts-j'!$B$4:$E$12,4,FALSE)="Oui",Q24*0.15,0))</f>
        <v/>
      </c>
      <c r="S24" s="257" t="str">
        <f t="shared" si="11"/>
        <v/>
      </c>
      <c r="T24" s="259" t="str">
        <f>IF(B24="","",IF(LEFT(B24,18)="Réunion collective",350-SUMIF($B$5:B23,B24,$U$5:U23),""))</f>
        <v/>
      </c>
      <c r="U24" s="258" t="str">
        <f t="shared" si="12"/>
        <v/>
      </c>
      <c r="V24" s="260"/>
      <c r="X24" s="255" t="e">
        <f>"ListeIntervenants"&amp;VLOOKUP(C24,'Intervenants et coûts-j'!$B$5:$C$12,2,FALSE)</f>
        <v>#N/A</v>
      </c>
    </row>
    <row r="25" spans="1:24" x14ac:dyDescent="0.2">
      <c r="A25" s="122"/>
      <c r="B25" s="126"/>
      <c r="C25" s="124"/>
      <c r="D25" s="120"/>
      <c r="E25" s="642"/>
      <c r="F25" s="643"/>
      <c r="G25" s="256" t="str">
        <f>IF(D25="","",VLOOKUP(D25,'Intervenants et coûts-j'!$C$15:$F$45,3,FALSE))</f>
        <v/>
      </c>
      <c r="H25" s="256" t="str">
        <f>IF(D25="","",VLOOKUP(D25,'Intervenants et coûts-j'!$C$15:$F$45,4,FALSE))</f>
        <v/>
      </c>
      <c r="I25" s="256" t="str">
        <f t="shared" si="7"/>
        <v/>
      </c>
      <c r="J25" s="256" t="str">
        <f>IF(C25="","",IF(VLOOKUP(C25,'Intervenants et coûts-j'!$B$4:$E$12,4,FALSE)="Oui",I25*0.15,0))</f>
        <v/>
      </c>
      <c r="K25" s="257" t="str">
        <f t="shared" si="8"/>
        <v/>
      </c>
      <c r="L25" s="257" t="str">
        <f>IF(B25="","",IF(LEFT(B25,18)="Réunion collective",350-SUMIF($B$5:B24,B25,$M$5:M24),""))</f>
        <v/>
      </c>
      <c r="M25" s="258" t="str">
        <f t="shared" si="9"/>
        <v/>
      </c>
      <c r="N25" s="287"/>
      <c r="O25" s="288"/>
      <c r="P25" s="256" t="str">
        <f>IF(D25="","",VLOOKUP(D25,'Intervenants et coûts-j'!$C$15:$F$45,4,FALSE))</f>
        <v/>
      </c>
      <c r="Q25" s="257" t="str">
        <f t="shared" si="10"/>
        <v/>
      </c>
      <c r="R25" s="256" t="str">
        <f>IF(N25="","",IF(VLOOKUP(C25,'Intervenants et coûts-j'!$B$4:$E$12,4,FALSE)="Oui",Q25*0.15,0))</f>
        <v/>
      </c>
      <c r="S25" s="257" t="str">
        <f t="shared" si="11"/>
        <v/>
      </c>
      <c r="T25" s="259" t="str">
        <f>IF(B25="","",IF(LEFT(B25,18)="Réunion collective",350-SUMIF($B$5:B24,B25,$U$5:U24),""))</f>
        <v/>
      </c>
      <c r="U25" s="258" t="str">
        <f t="shared" si="12"/>
        <v/>
      </c>
      <c r="V25" s="260"/>
      <c r="X25" s="255" t="e">
        <f>"ListeIntervenants"&amp;VLOOKUP(C25,'Intervenants et coûts-j'!$B$5:$C$12,2,FALSE)</f>
        <v>#N/A</v>
      </c>
    </row>
    <row r="26" spans="1:24" x14ac:dyDescent="0.2">
      <c r="A26" s="122"/>
      <c r="B26" s="126"/>
      <c r="C26" s="124"/>
      <c r="D26" s="120"/>
      <c r="E26" s="642"/>
      <c r="F26" s="643"/>
      <c r="G26" s="256" t="str">
        <f>IF(D26="","",VLOOKUP(D26,'Intervenants et coûts-j'!$C$15:$F$45,3,FALSE))</f>
        <v/>
      </c>
      <c r="H26" s="256" t="str">
        <f>IF(D26="","",VLOOKUP(D26,'Intervenants et coûts-j'!$C$15:$F$45,4,FALSE))</f>
        <v/>
      </c>
      <c r="I26" s="256" t="str">
        <f t="shared" si="7"/>
        <v/>
      </c>
      <c r="J26" s="256" t="str">
        <f>IF(C26="","",IF(VLOOKUP(C26,'Intervenants et coûts-j'!$B$4:$E$12,4,FALSE)="Oui",I26*0.15,0))</f>
        <v/>
      </c>
      <c r="K26" s="257" t="str">
        <f t="shared" si="8"/>
        <v/>
      </c>
      <c r="L26" s="257" t="str">
        <f>IF(B26="","",IF(LEFT(B26,18)="Réunion collective",350-SUMIF($B$5:B25,B26,$M$5:M25),""))</f>
        <v/>
      </c>
      <c r="M26" s="258" t="str">
        <f t="shared" si="9"/>
        <v/>
      </c>
      <c r="N26" s="287"/>
      <c r="O26" s="288"/>
      <c r="P26" s="256" t="str">
        <f>IF(D26="","",VLOOKUP(D26,'Intervenants et coûts-j'!$C$15:$F$45,4,FALSE))</f>
        <v/>
      </c>
      <c r="Q26" s="257" t="str">
        <f t="shared" si="10"/>
        <v/>
      </c>
      <c r="R26" s="256" t="str">
        <f>IF(N26="","",IF(VLOOKUP(C26,'Intervenants et coûts-j'!$B$4:$E$12,4,FALSE)="Oui",Q26*0.15,0))</f>
        <v/>
      </c>
      <c r="S26" s="257" t="str">
        <f t="shared" si="11"/>
        <v/>
      </c>
      <c r="T26" s="259" t="str">
        <f>IF(B26="","",IF(LEFT(B26,18)="Réunion collective",350-SUMIF($B$5:B25,B26,$U$5:U25),""))</f>
        <v/>
      </c>
      <c r="U26" s="258" t="str">
        <f t="shared" si="12"/>
        <v/>
      </c>
      <c r="V26" s="260"/>
      <c r="X26" s="255" t="e">
        <f>"ListeIntervenants"&amp;VLOOKUP(C26,'Intervenants et coûts-j'!$B$5:$C$12,2,FALSE)</f>
        <v>#N/A</v>
      </c>
    </row>
    <row r="27" spans="1:24" x14ac:dyDescent="0.2">
      <c r="A27" s="122"/>
      <c r="B27" s="126"/>
      <c r="C27" s="124"/>
      <c r="D27" s="120"/>
      <c r="E27" s="642"/>
      <c r="F27" s="643"/>
      <c r="G27" s="256" t="str">
        <f>IF(D27="","",VLOOKUP(D27,'Intervenants et coûts-j'!$C$15:$F$45,3,FALSE))</f>
        <v/>
      </c>
      <c r="H27" s="256" t="str">
        <f>IF(D27="","",VLOOKUP(D27,'Intervenants et coûts-j'!$C$15:$F$45,4,FALSE))</f>
        <v/>
      </c>
      <c r="I27" s="256" t="str">
        <f t="shared" si="7"/>
        <v/>
      </c>
      <c r="J27" s="256" t="str">
        <f>IF(C27="","",IF(VLOOKUP(C27,'Intervenants et coûts-j'!$B$4:$E$12,4,FALSE)="Oui",I27*0.15,0))</f>
        <v/>
      </c>
      <c r="K27" s="257" t="str">
        <f t="shared" si="8"/>
        <v/>
      </c>
      <c r="L27" s="257" t="str">
        <f>IF(B27="","",IF(LEFT(B27,18)="Réunion collective",350-SUMIF($B$5:B26,B27,$M$5:M26),""))</f>
        <v/>
      </c>
      <c r="M27" s="258" t="str">
        <f t="shared" si="9"/>
        <v/>
      </c>
      <c r="N27" s="287"/>
      <c r="O27" s="288"/>
      <c r="P27" s="256" t="str">
        <f>IF(D27="","",VLOOKUP(D27,'Intervenants et coûts-j'!$C$15:$F$45,4,FALSE))</f>
        <v/>
      </c>
      <c r="Q27" s="257" t="str">
        <f t="shared" si="10"/>
        <v/>
      </c>
      <c r="R27" s="256" t="str">
        <f>IF(N27="","",IF(VLOOKUP(C27,'Intervenants et coûts-j'!$B$4:$E$12,4,FALSE)="Oui",Q27*0.15,0))</f>
        <v/>
      </c>
      <c r="S27" s="257" t="str">
        <f t="shared" si="11"/>
        <v/>
      </c>
      <c r="T27" s="259" t="str">
        <f>IF(B27="","",IF(LEFT(B27,18)="Réunion collective",350-SUMIF($B$5:B26,B27,$U$5:U26),""))</f>
        <v/>
      </c>
      <c r="U27" s="258" t="str">
        <f t="shared" si="12"/>
        <v/>
      </c>
      <c r="V27" s="260"/>
      <c r="X27" s="255" t="e">
        <f>"ListeIntervenants"&amp;VLOOKUP(C27,'Intervenants et coûts-j'!$B$5:$C$12,2,FALSE)</f>
        <v>#N/A</v>
      </c>
    </row>
    <row r="28" spans="1:24" x14ac:dyDescent="0.2">
      <c r="A28" s="122"/>
      <c r="B28" s="126"/>
      <c r="C28" s="124"/>
      <c r="D28" s="120"/>
      <c r="E28" s="642"/>
      <c r="F28" s="643"/>
      <c r="G28" s="256" t="str">
        <f>IF(D28="","",VLOOKUP(D28,'Intervenants et coûts-j'!$C$15:$F$45,3,FALSE))</f>
        <v/>
      </c>
      <c r="H28" s="256" t="str">
        <f>IF(D28="","",VLOOKUP(D28,'Intervenants et coûts-j'!$C$15:$F$45,4,FALSE))</f>
        <v/>
      </c>
      <c r="I28" s="256" t="str">
        <f t="shared" si="7"/>
        <v/>
      </c>
      <c r="J28" s="256" t="str">
        <f>IF(C28="","",IF(VLOOKUP(C28,'Intervenants et coûts-j'!$B$4:$E$12,4,FALSE)="Oui",I28*0.15,0))</f>
        <v/>
      </c>
      <c r="K28" s="257" t="str">
        <f t="shared" si="8"/>
        <v/>
      </c>
      <c r="L28" s="257" t="str">
        <f>IF(B28="","",IF(LEFT(B28,18)="Réunion collective",350-SUMIF($B$5:B27,B28,$M$5:M27),""))</f>
        <v/>
      </c>
      <c r="M28" s="258" t="str">
        <f t="shared" si="9"/>
        <v/>
      </c>
      <c r="N28" s="287"/>
      <c r="O28" s="288"/>
      <c r="P28" s="256" t="str">
        <f>IF(D28="","",VLOOKUP(D28,'Intervenants et coûts-j'!$C$15:$F$45,4,FALSE))</f>
        <v/>
      </c>
      <c r="Q28" s="257" t="str">
        <f t="shared" si="10"/>
        <v/>
      </c>
      <c r="R28" s="256" t="str">
        <f>IF(N28="","",IF(VLOOKUP(C28,'Intervenants et coûts-j'!$B$4:$E$12,4,FALSE)="Oui",Q28*0.15,0))</f>
        <v/>
      </c>
      <c r="S28" s="257" t="str">
        <f t="shared" si="11"/>
        <v/>
      </c>
      <c r="T28" s="259" t="str">
        <f>IF(B28="","",IF(LEFT(B28,18)="Réunion collective",350-SUMIF($B$5:B27,B28,$U$5:U27),""))</f>
        <v/>
      </c>
      <c r="U28" s="258" t="str">
        <f t="shared" si="12"/>
        <v/>
      </c>
      <c r="V28" s="260"/>
      <c r="X28" s="255" t="e">
        <f>"ListeIntervenants"&amp;VLOOKUP(C28,'Intervenants et coûts-j'!$B$5:$C$12,2,FALSE)</f>
        <v>#N/A</v>
      </c>
    </row>
    <row r="29" spans="1:24" x14ac:dyDescent="0.2">
      <c r="A29" s="122"/>
      <c r="B29" s="126"/>
      <c r="C29" s="124"/>
      <c r="D29" s="120"/>
      <c r="E29" s="642"/>
      <c r="F29" s="643"/>
      <c r="G29" s="256" t="str">
        <f>IF(D29="","",VLOOKUP(D29,'Intervenants et coûts-j'!$C$15:$F$45,3,FALSE))</f>
        <v/>
      </c>
      <c r="H29" s="256" t="str">
        <f>IF(D29="","",VLOOKUP(D29,'Intervenants et coûts-j'!$C$15:$F$45,4,FALSE))</f>
        <v/>
      </c>
      <c r="I29" s="256" t="str">
        <f t="shared" si="7"/>
        <v/>
      </c>
      <c r="J29" s="256" t="str">
        <f>IF(C29="","",IF(VLOOKUP(C29,'Intervenants et coûts-j'!$B$4:$E$12,4,FALSE)="Oui",I29*0.15,0))</f>
        <v/>
      </c>
      <c r="K29" s="257" t="str">
        <f t="shared" si="8"/>
        <v/>
      </c>
      <c r="L29" s="257" t="str">
        <f>IF(B29="","",IF(LEFT(B29,18)="Réunion collective",350-SUMIF($B$5:B28,B29,$M$5:M28),""))</f>
        <v/>
      </c>
      <c r="M29" s="258" t="str">
        <f t="shared" si="9"/>
        <v/>
      </c>
      <c r="N29" s="287"/>
      <c r="O29" s="288"/>
      <c r="P29" s="256" t="str">
        <f>IF(D29="","",VLOOKUP(D29,'Intervenants et coûts-j'!$C$15:$F$45,4,FALSE))</f>
        <v/>
      </c>
      <c r="Q29" s="257" t="str">
        <f t="shared" si="10"/>
        <v/>
      </c>
      <c r="R29" s="256" t="str">
        <f>IF(N29="","",IF(VLOOKUP(C29,'Intervenants et coûts-j'!$B$4:$E$12,4,FALSE)="Oui",Q29*0.15,0))</f>
        <v/>
      </c>
      <c r="S29" s="257" t="str">
        <f t="shared" si="11"/>
        <v/>
      </c>
      <c r="T29" s="259" t="str">
        <f>IF(B29="","",IF(LEFT(B29,18)="Réunion collective",350-SUMIF($B$5:B28,B29,$U$5:U28),""))</f>
        <v/>
      </c>
      <c r="U29" s="258" t="str">
        <f t="shared" si="12"/>
        <v/>
      </c>
      <c r="V29" s="260"/>
      <c r="X29" s="255" t="e">
        <f>"ListeIntervenants"&amp;VLOOKUP(C29,'Intervenants et coûts-j'!$B$5:$C$12,2,FALSE)</f>
        <v>#N/A</v>
      </c>
    </row>
    <row r="30" spans="1:24" x14ac:dyDescent="0.2">
      <c r="A30" s="122"/>
      <c r="B30" s="126"/>
      <c r="C30" s="124"/>
      <c r="D30" s="120"/>
      <c r="E30" s="642"/>
      <c r="F30" s="643"/>
      <c r="G30" s="256" t="str">
        <f>IF(D30="","",VLOOKUP(D30,'Intervenants et coûts-j'!$C$15:$F$45,3,FALSE))</f>
        <v/>
      </c>
      <c r="H30" s="256" t="str">
        <f>IF(D30="","",VLOOKUP(D30,'Intervenants et coûts-j'!$C$15:$F$45,4,FALSE))</f>
        <v/>
      </c>
      <c r="I30" s="256" t="str">
        <f t="shared" si="7"/>
        <v/>
      </c>
      <c r="J30" s="256" t="str">
        <f>IF(C30="","",IF(VLOOKUP(C30,'Intervenants et coûts-j'!$B$4:$E$12,4,FALSE)="Oui",I30*0.15,0))</f>
        <v/>
      </c>
      <c r="K30" s="257" t="str">
        <f t="shared" si="8"/>
        <v/>
      </c>
      <c r="L30" s="257" t="str">
        <f>IF(B30="","",IF(LEFT(B30,18)="Réunion collective",350-SUMIF($B$5:B29,B30,$M$5:M29),""))</f>
        <v/>
      </c>
      <c r="M30" s="258" t="str">
        <f t="shared" si="9"/>
        <v/>
      </c>
      <c r="N30" s="287"/>
      <c r="O30" s="288"/>
      <c r="P30" s="256" t="str">
        <f>IF(D30="","",VLOOKUP(D30,'Intervenants et coûts-j'!$C$15:$F$45,4,FALSE))</f>
        <v/>
      </c>
      <c r="Q30" s="257" t="str">
        <f t="shared" si="10"/>
        <v/>
      </c>
      <c r="R30" s="256" t="str">
        <f>IF(N30="","",IF(VLOOKUP(C30,'Intervenants et coûts-j'!$B$4:$E$12,4,FALSE)="Oui",Q30*0.15,0))</f>
        <v/>
      </c>
      <c r="S30" s="257" t="str">
        <f t="shared" si="11"/>
        <v/>
      </c>
      <c r="T30" s="259" t="str">
        <f>IF(B30="","",IF(LEFT(B30,18)="Réunion collective",350-SUMIF($B$5:B29,B30,$U$5:U29),""))</f>
        <v/>
      </c>
      <c r="U30" s="258" t="str">
        <f t="shared" si="12"/>
        <v/>
      </c>
      <c r="V30" s="260"/>
      <c r="X30" s="255" t="e">
        <f>"ListeIntervenants"&amp;VLOOKUP(C30,'Intervenants et coûts-j'!$B$5:$C$12,2,FALSE)</f>
        <v>#N/A</v>
      </c>
    </row>
    <row r="31" spans="1:24" x14ac:dyDescent="0.2">
      <c r="A31" s="122"/>
      <c r="B31" s="126"/>
      <c r="C31" s="124"/>
      <c r="D31" s="120"/>
      <c r="E31" s="642"/>
      <c r="F31" s="643"/>
      <c r="G31" s="256" t="str">
        <f>IF(D31="","",VLOOKUP(D31,'Intervenants et coûts-j'!$C$15:$F$45,3,FALSE))</f>
        <v/>
      </c>
      <c r="H31" s="256" t="str">
        <f>IF(D31="","",VLOOKUP(D31,'Intervenants et coûts-j'!$C$15:$F$45,4,FALSE))</f>
        <v/>
      </c>
      <c r="I31" s="256" t="str">
        <f t="shared" si="7"/>
        <v/>
      </c>
      <c r="J31" s="256" t="str">
        <f>IF(C31="","",IF(VLOOKUP(C31,'Intervenants et coûts-j'!$B$4:$E$12,4,FALSE)="Oui",I31*0.15,0))</f>
        <v/>
      </c>
      <c r="K31" s="257" t="str">
        <f t="shared" si="8"/>
        <v/>
      </c>
      <c r="L31" s="257" t="str">
        <f>IF(B31="","",IF(LEFT(B31,18)="Réunion collective",350-SUMIF($B$5:B30,B31,$M$5:M30),""))</f>
        <v/>
      </c>
      <c r="M31" s="258" t="str">
        <f t="shared" si="9"/>
        <v/>
      </c>
      <c r="N31" s="287"/>
      <c r="O31" s="288"/>
      <c r="P31" s="256" t="str">
        <f>IF(D31="","",VLOOKUP(D31,'Intervenants et coûts-j'!$C$15:$F$45,4,FALSE))</f>
        <v/>
      </c>
      <c r="Q31" s="257" t="str">
        <f t="shared" si="10"/>
        <v/>
      </c>
      <c r="R31" s="256" t="str">
        <f>IF(N31="","",IF(VLOOKUP(C31,'Intervenants et coûts-j'!$B$4:$E$12,4,FALSE)="Oui",Q31*0.15,0))</f>
        <v/>
      </c>
      <c r="S31" s="257" t="str">
        <f t="shared" si="11"/>
        <v/>
      </c>
      <c r="T31" s="259" t="str">
        <f>IF(B31="","",IF(LEFT(B31,18)="Réunion collective",350-SUMIF($B$5:B30,B31,$U$5:U30),""))</f>
        <v/>
      </c>
      <c r="U31" s="258" t="str">
        <f t="shared" si="12"/>
        <v/>
      </c>
      <c r="V31" s="260"/>
      <c r="X31" s="255" t="e">
        <f>"ListeIntervenants"&amp;VLOOKUP(C31,'Intervenants et coûts-j'!$B$5:$C$12,2,FALSE)</f>
        <v>#N/A</v>
      </c>
    </row>
    <row r="32" spans="1:24" x14ac:dyDescent="0.2">
      <c r="A32" s="122"/>
      <c r="B32" s="126"/>
      <c r="C32" s="124"/>
      <c r="D32" s="120"/>
      <c r="E32" s="642"/>
      <c r="F32" s="643"/>
      <c r="G32" s="256" t="str">
        <f>IF(D32="","",VLOOKUP(D32,'Intervenants et coûts-j'!$C$15:$F$45,3,FALSE))</f>
        <v/>
      </c>
      <c r="H32" s="256" t="str">
        <f>IF(D32="","",VLOOKUP(D32,'Intervenants et coûts-j'!$C$15:$F$45,4,FALSE))</f>
        <v/>
      </c>
      <c r="I32" s="256" t="str">
        <f t="shared" si="7"/>
        <v/>
      </c>
      <c r="J32" s="256" t="str">
        <f>IF(C32="","",IF(VLOOKUP(C32,'Intervenants et coûts-j'!$B$4:$E$12,4,FALSE)="Oui",I32*0.15,0))</f>
        <v/>
      </c>
      <c r="K32" s="257" t="str">
        <f t="shared" si="8"/>
        <v/>
      </c>
      <c r="L32" s="257" t="str">
        <f>IF(B32="","",IF(LEFT(B32,18)="Réunion collective",350-SUMIF($B$5:B31,B32,$M$5:M31),""))</f>
        <v/>
      </c>
      <c r="M32" s="258" t="str">
        <f t="shared" si="9"/>
        <v/>
      </c>
      <c r="N32" s="287"/>
      <c r="O32" s="288"/>
      <c r="P32" s="256" t="str">
        <f>IF(D32="","",VLOOKUP(D32,'Intervenants et coûts-j'!$C$15:$F$45,4,FALSE))</f>
        <v/>
      </c>
      <c r="Q32" s="257" t="str">
        <f t="shared" si="10"/>
        <v/>
      </c>
      <c r="R32" s="256" t="str">
        <f>IF(N32="","",IF(VLOOKUP(C32,'Intervenants et coûts-j'!$B$4:$E$12,4,FALSE)="Oui",Q32*0.15,0))</f>
        <v/>
      </c>
      <c r="S32" s="257" t="str">
        <f t="shared" si="11"/>
        <v/>
      </c>
      <c r="T32" s="259" t="str">
        <f>IF(B32="","",IF(LEFT(B32,18)="Réunion collective",350-SUMIF($B$5:B31,B32,$U$5:U31),""))</f>
        <v/>
      </c>
      <c r="U32" s="258" t="str">
        <f t="shared" si="12"/>
        <v/>
      </c>
      <c r="V32" s="260"/>
      <c r="X32" s="255" t="e">
        <f>"ListeIntervenants"&amp;VLOOKUP(C32,'Intervenants et coûts-j'!$B$5:$C$12,2,FALSE)</f>
        <v>#N/A</v>
      </c>
    </row>
    <row r="33" spans="1:24" x14ac:dyDescent="0.2">
      <c r="A33" s="122"/>
      <c r="B33" s="126"/>
      <c r="C33" s="124"/>
      <c r="D33" s="120"/>
      <c r="E33" s="642"/>
      <c r="F33" s="643"/>
      <c r="G33" s="256" t="str">
        <f>IF(D33="","",VLOOKUP(D33,'Intervenants et coûts-j'!$C$15:$F$45,3,FALSE))</f>
        <v/>
      </c>
      <c r="H33" s="256" t="str">
        <f>IF(D33="","",VLOOKUP(D33,'Intervenants et coûts-j'!$C$15:$F$45,4,FALSE))</f>
        <v/>
      </c>
      <c r="I33" s="256" t="str">
        <f t="shared" si="7"/>
        <v/>
      </c>
      <c r="J33" s="256" t="str">
        <f>IF(C33="","",IF(VLOOKUP(C33,'Intervenants et coûts-j'!$B$4:$E$12,4,FALSE)="Oui",I33*0.15,0))</f>
        <v/>
      </c>
      <c r="K33" s="257" t="str">
        <f t="shared" si="8"/>
        <v/>
      </c>
      <c r="L33" s="257" t="str">
        <f>IF(B33="","",IF(LEFT(B33,18)="Réunion collective",350-SUMIF($B$5:B32,B33,$M$5:M32),""))</f>
        <v/>
      </c>
      <c r="M33" s="258" t="str">
        <f t="shared" si="9"/>
        <v/>
      </c>
      <c r="N33" s="287"/>
      <c r="O33" s="288"/>
      <c r="P33" s="256" t="str">
        <f>IF(D33="","",VLOOKUP(D33,'Intervenants et coûts-j'!$C$15:$F$45,4,FALSE))</f>
        <v/>
      </c>
      <c r="Q33" s="257" t="str">
        <f t="shared" si="10"/>
        <v/>
      </c>
      <c r="R33" s="256" t="str">
        <f>IF(N33="","",IF(VLOOKUP(C33,'Intervenants et coûts-j'!$B$4:$E$12,4,FALSE)="Oui",Q33*0.15,0))</f>
        <v/>
      </c>
      <c r="S33" s="257" t="str">
        <f t="shared" si="11"/>
        <v/>
      </c>
      <c r="T33" s="259" t="str">
        <f>IF(B33="","",IF(LEFT(B33,18)="Réunion collective",350-SUMIF($B$5:B32,B33,$U$5:U32),""))</f>
        <v/>
      </c>
      <c r="U33" s="258" t="str">
        <f t="shared" si="12"/>
        <v/>
      </c>
      <c r="V33" s="260"/>
      <c r="X33" s="255" t="e">
        <f>"ListeIntervenants"&amp;VLOOKUP(C33,'Intervenants et coûts-j'!$B$5:$C$12,2,FALSE)</f>
        <v>#N/A</v>
      </c>
    </row>
    <row r="34" spans="1:24" x14ac:dyDescent="0.2">
      <c r="A34" s="122"/>
      <c r="B34" s="126"/>
      <c r="C34" s="124"/>
      <c r="D34" s="120"/>
      <c r="E34" s="642"/>
      <c r="F34" s="643"/>
      <c r="G34" s="256" t="str">
        <f>IF(D34="","",VLOOKUP(D34,'Intervenants et coûts-j'!$C$15:$F$45,3,FALSE))</f>
        <v/>
      </c>
      <c r="H34" s="256" t="str">
        <f>IF(D34="","",VLOOKUP(D34,'Intervenants et coûts-j'!$C$15:$F$45,4,FALSE))</f>
        <v/>
      </c>
      <c r="I34" s="256" t="str">
        <f t="shared" si="7"/>
        <v/>
      </c>
      <c r="J34" s="256" t="str">
        <f>IF(C34="","",IF(VLOOKUP(C34,'Intervenants et coûts-j'!$B$4:$E$12,4,FALSE)="Oui",I34*0.15,0))</f>
        <v/>
      </c>
      <c r="K34" s="257" t="str">
        <f t="shared" si="8"/>
        <v/>
      </c>
      <c r="L34" s="257" t="str">
        <f>IF(B34="","",IF(LEFT(B34,18)="Réunion collective",350-SUMIF($B$5:B33,B34,$M$5:M33),""))</f>
        <v/>
      </c>
      <c r="M34" s="258" t="str">
        <f t="shared" si="9"/>
        <v/>
      </c>
      <c r="N34" s="287"/>
      <c r="O34" s="288"/>
      <c r="P34" s="256" t="str">
        <f>IF(D34="","",VLOOKUP(D34,'Intervenants et coûts-j'!$C$15:$F$45,4,FALSE))</f>
        <v/>
      </c>
      <c r="Q34" s="257" t="str">
        <f t="shared" si="10"/>
        <v/>
      </c>
      <c r="R34" s="256" t="str">
        <f>IF(N34="","",IF(VLOOKUP(C34,'Intervenants et coûts-j'!$B$4:$E$12,4,FALSE)="Oui",Q34*0.15,0))</f>
        <v/>
      </c>
      <c r="S34" s="257" t="str">
        <f t="shared" si="11"/>
        <v/>
      </c>
      <c r="T34" s="259" t="str">
        <f>IF(B34="","",IF(LEFT(B34,18)="Réunion collective",350-SUMIF($B$5:B33,B34,$U$5:U33),""))</f>
        <v/>
      </c>
      <c r="U34" s="258" t="str">
        <f t="shared" si="12"/>
        <v/>
      </c>
      <c r="V34" s="260"/>
      <c r="X34" s="255" t="e">
        <f>"ListeIntervenants"&amp;VLOOKUP(C34,'Intervenants et coûts-j'!$B$5:$C$12,2,FALSE)</f>
        <v>#N/A</v>
      </c>
    </row>
    <row r="35" spans="1:24" x14ac:dyDescent="0.2">
      <c r="A35" s="122"/>
      <c r="B35" s="126"/>
      <c r="C35" s="124"/>
      <c r="D35" s="120"/>
      <c r="E35" s="642"/>
      <c r="F35" s="643"/>
      <c r="G35" s="256" t="str">
        <f>IF(D35="","",VLOOKUP(D35,'Intervenants et coûts-j'!$C$15:$F$45,3,FALSE))</f>
        <v/>
      </c>
      <c r="H35" s="256" t="str">
        <f>IF(D35="","",VLOOKUP(D35,'Intervenants et coûts-j'!$C$15:$F$45,4,FALSE))</f>
        <v/>
      </c>
      <c r="I35" s="256" t="str">
        <f t="shared" si="7"/>
        <v/>
      </c>
      <c r="J35" s="256" t="str">
        <f>IF(C35="","",IF(VLOOKUP(C35,'Intervenants et coûts-j'!$B$4:$E$12,4,FALSE)="Oui",I35*0.15,0))</f>
        <v/>
      </c>
      <c r="K35" s="257" t="str">
        <f t="shared" si="8"/>
        <v/>
      </c>
      <c r="L35" s="257" t="str">
        <f>IF(B35="","",IF(LEFT(B35,18)="Réunion collective",350-SUMIF($B$5:B34,B35,$M$5:M34),""))</f>
        <v/>
      </c>
      <c r="M35" s="258" t="str">
        <f t="shared" si="9"/>
        <v/>
      </c>
      <c r="N35" s="287"/>
      <c r="O35" s="288"/>
      <c r="P35" s="256" t="str">
        <f>IF(D35="","",VLOOKUP(D35,'Intervenants et coûts-j'!$C$15:$F$45,4,FALSE))</f>
        <v/>
      </c>
      <c r="Q35" s="257" t="str">
        <f t="shared" si="10"/>
        <v/>
      </c>
      <c r="R35" s="256" t="str">
        <f>IF(N35="","",IF(VLOOKUP(C35,'Intervenants et coûts-j'!$B$4:$E$12,4,FALSE)="Oui",Q35*0.15,0))</f>
        <v/>
      </c>
      <c r="S35" s="257" t="str">
        <f t="shared" si="11"/>
        <v/>
      </c>
      <c r="T35" s="259" t="str">
        <f>IF(B35="","",IF(LEFT(B35,18)="Réunion collective",350-SUMIF($B$5:B34,B35,$U$5:U34),""))</f>
        <v/>
      </c>
      <c r="U35" s="258" t="str">
        <f t="shared" si="12"/>
        <v/>
      </c>
      <c r="V35" s="260"/>
      <c r="X35" s="255" t="e">
        <f>"ListeIntervenants"&amp;VLOOKUP(C35,'Intervenants et coûts-j'!$B$5:$C$12,2,FALSE)</f>
        <v>#N/A</v>
      </c>
    </row>
    <row r="36" spans="1:24" x14ac:dyDescent="0.2">
      <c r="A36" s="122"/>
      <c r="B36" s="126"/>
      <c r="C36" s="124"/>
      <c r="D36" s="120"/>
      <c r="E36" s="642"/>
      <c r="F36" s="643"/>
      <c r="G36" s="256" t="str">
        <f>IF(D36="","",VLOOKUP(D36,'Intervenants et coûts-j'!$C$15:$F$45,3,FALSE))</f>
        <v/>
      </c>
      <c r="H36" s="256" t="str">
        <f>IF(D36="","",VLOOKUP(D36,'Intervenants et coûts-j'!$C$15:$F$45,4,FALSE))</f>
        <v/>
      </c>
      <c r="I36" s="256" t="str">
        <f t="shared" si="7"/>
        <v/>
      </c>
      <c r="J36" s="256" t="str">
        <f>IF(C36="","",IF(VLOOKUP(C36,'Intervenants et coûts-j'!$B$4:$E$12,4,FALSE)="Oui",I36*0.15,0))</f>
        <v/>
      </c>
      <c r="K36" s="257" t="str">
        <f t="shared" si="8"/>
        <v/>
      </c>
      <c r="L36" s="257" t="str">
        <f>IF(B36="","",IF(LEFT(B36,18)="Réunion collective",350-SUMIF($B$5:B35,B36,$M$5:M35),""))</f>
        <v/>
      </c>
      <c r="M36" s="258" t="str">
        <f t="shared" si="9"/>
        <v/>
      </c>
      <c r="N36" s="287"/>
      <c r="O36" s="288"/>
      <c r="P36" s="256" t="str">
        <f>IF(D36="","",VLOOKUP(D36,'Intervenants et coûts-j'!$C$15:$F$45,4,FALSE))</f>
        <v/>
      </c>
      <c r="Q36" s="257" t="str">
        <f t="shared" si="10"/>
        <v/>
      </c>
      <c r="R36" s="256" t="str">
        <f>IF(N36="","",IF(VLOOKUP(C36,'Intervenants et coûts-j'!$B$4:$E$12,4,FALSE)="Oui",Q36*0.15,0))</f>
        <v/>
      </c>
      <c r="S36" s="257" t="str">
        <f t="shared" si="11"/>
        <v/>
      </c>
      <c r="T36" s="259" t="str">
        <f>IF(B36="","",IF(LEFT(B36,18)="Réunion collective",350-SUMIF($B$5:B35,B36,$U$5:U35),""))</f>
        <v/>
      </c>
      <c r="U36" s="258" t="str">
        <f t="shared" si="12"/>
        <v/>
      </c>
      <c r="V36" s="260"/>
      <c r="X36" s="255" t="e">
        <f>"ListeIntervenants"&amp;VLOOKUP(C36,'Intervenants et coûts-j'!$B$5:$C$12,2,FALSE)</f>
        <v>#N/A</v>
      </c>
    </row>
    <row r="37" spans="1:24" x14ac:dyDescent="0.2">
      <c r="A37" s="122"/>
      <c r="B37" s="126"/>
      <c r="C37" s="124"/>
      <c r="D37" s="120"/>
      <c r="E37" s="642"/>
      <c r="F37" s="643"/>
      <c r="G37" s="256" t="str">
        <f>IF(D37="","",VLOOKUP(D37,'Intervenants et coûts-j'!$C$15:$F$45,3,FALSE))</f>
        <v/>
      </c>
      <c r="H37" s="256" t="str">
        <f>IF(D37="","",VLOOKUP(D37,'Intervenants et coûts-j'!$C$15:$F$45,4,FALSE))</f>
        <v/>
      </c>
      <c r="I37" s="256" t="str">
        <f t="shared" si="7"/>
        <v/>
      </c>
      <c r="J37" s="256" t="str">
        <f>IF(C37="","",IF(VLOOKUP(C37,'Intervenants et coûts-j'!$B$4:$E$12,4,FALSE)="Oui",I37*0.15,0))</f>
        <v/>
      </c>
      <c r="K37" s="257" t="str">
        <f t="shared" si="8"/>
        <v/>
      </c>
      <c r="L37" s="257" t="str">
        <f>IF(B37="","",IF(LEFT(B37,18)="Réunion collective",350-SUMIF($B$5:B36,B37,$M$5:M36),""))</f>
        <v/>
      </c>
      <c r="M37" s="258" t="str">
        <f t="shared" si="9"/>
        <v/>
      </c>
      <c r="N37" s="287"/>
      <c r="O37" s="288"/>
      <c r="P37" s="256" t="str">
        <f>IF(D37="","",VLOOKUP(D37,'Intervenants et coûts-j'!$C$15:$F$45,4,FALSE))</f>
        <v/>
      </c>
      <c r="Q37" s="257" t="str">
        <f t="shared" si="10"/>
        <v/>
      </c>
      <c r="R37" s="256" t="str">
        <f>IF(N37="","",IF(VLOOKUP(C37,'Intervenants et coûts-j'!$B$4:$E$12,4,FALSE)="Oui",Q37*0.15,0))</f>
        <v/>
      </c>
      <c r="S37" s="257" t="str">
        <f t="shared" si="11"/>
        <v/>
      </c>
      <c r="T37" s="259" t="str">
        <f>IF(B37="","",IF(LEFT(B37,18)="Réunion collective",350-SUMIF($B$5:B36,B37,$U$5:U36),""))</f>
        <v/>
      </c>
      <c r="U37" s="258" t="str">
        <f t="shared" si="12"/>
        <v/>
      </c>
      <c r="V37" s="260"/>
      <c r="X37" s="255" t="e">
        <f>"ListeIntervenants"&amp;VLOOKUP(C37,'Intervenants et coûts-j'!$B$5:$C$12,2,FALSE)</f>
        <v>#N/A</v>
      </c>
    </row>
    <row r="38" spans="1:24" x14ac:dyDescent="0.2">
      <c r="A38" s="122"/>
      <c r="B38" s="126"/>
      <c r="C38" s="124"/>
      <c r="D38" s="120"/>
      <c r="E38" s="642"/>
      <c r="F38" s="643"/>
      <c r="G38" s="256" t="str">
        <f>IF(D38="","",VLOOKUP(D38,'Intervenants et coûts-j'!$C$15:$F$45,3,FALSE))</f>
        <v/>
      </c>
      <c r="H38" s="256" t="str">
        <f>IF(D38="","",VLOOKUP(D38,'Intervenants et coûts-j'!$C$15:$F$45,4,FALSE))</f>
        <v/>
      </c>
      <c r="I38" s="256" t="str">
        <f t="shared" si="7"/>
        <v/>
      </c>
      <c r="J38" s="256" t="str">
        <f>IF(C38="","",IF(VLOOKUP(C38,'Intervenants et coûts-j'!$B$4:$E$12,4,FALSE)="Oui",I38*0.15,0))</f>
        <v/>
      </c>
      <c r="K38" s="257" t="str">
        <f t="shared" si="8"/>
        <v/>
      </c>
      <c r="L38" s="257" t="str">
        <f>IF(B38="","",IF(LEFT(B38,18)="Réunion collective",350-SUMIF($B$5:B37,B38,$M$5:M37),""))</f>
        <v/>
      </c>
      <c r="M38" s="258" t="str">
        <f t="shared" si="9"/>
        <v/>
      </c>
      <c r="N38" s="287"/>
      <c r="O38" s="288"/>
      <c r="P38" s="256" t="str">
        <f>IF(D38="","",VLOOKUP(D38,'Intervenants et coûts-j'!$C$15:$F$45,4,FALSE))</f>
        <v/>
      </c>
      <c r="Q38" s="257" t="str">
        <f t="shared" si="10"/>
        <v/>
      </c>
      <c r="R38" s="256" t="str">
        <f>IF(N38="","",IF(VLOOKUP(C38,'Intervenants et coûts-j'!$B$4:$E$12,4,FALSE)="Oui",Q38*0.15,0))</f>
        <v/>
      </c>
      <c r="S38" s="257" t="str">
        <f t="shared" si="11"/>
        <v/>
      </c>
      <c r="T38" s="259" t="str">
        <f>IF(B38="","",IF(LEFT(B38,18)="Réunion collective",350-SUMIF($B$5:B37,B38,$U$5:U37),""))</f>
        <v/>
      </c>
      <c r="U38" s="258" t="str">
        <f t="shared" si="12"/>
        <v/>
      </c>
      <c r="V38" s="260"/>
      <c r="X38" s="255" t="e">
        <f>"ListeIntervenants"&amp;VLOOKUP(C38,'Intervenants et coûts-j'!$B$5:$C$12,2,FALSE)</f>
        <v>#N/A</v>
      </c>
    </row>
    <row r="39" spans="1:24" x14ac:dyDescent="0.2">
      <c r="A39" s="122"/>
      <c r="B39" s="126"/>
      <c r="C39" s="124"/>
      <c r="D39" s="120"/>
      <c r="E39" s="642"/>
      <c r="F39" s="643"/>
      <c r="G39" s="256" t="str">
        <f>IF(D39="","",VLOOKUP(D39,'Intervenants et coûts-j'!$C$15:$F$45,3,FALSE))</f>
        <v/>
      </c>
      <c r="H39" s="256" t="str">
        <f>IF(D39="","",VLOOKUP(D39,'Intervenants et coûts-j'!$C$15:$F$45,4,FALSE))</f>
        <v/>
      </c>
      <c r="I39" s="256" t="str">
        <f t="shared" si="7"/>
        <v/>
      </c>
      <c r="J39" s="256" t="str">
        <f>IF(C39="","",IF(VLOOKUP(C39,'Intervenants et coûts-j'!$B$4:$E$12,4,FALSE)="Oui",I39*0.15,0))</f>
        <v/>
      </c>
      <c r="K39" s="257" t="str">
        <f t="shared" si="8"/>
        <v/>
      </c>
      <c r="L39" s="257" t="str">
        <f>IF(B39="","",IF(LEFT(B39,18)="Réunion collective",350-SUMIF($B$5:B38,B39,$M$5:M38),""))</f>
        <v/>
      </c>
      <c r="M39" s="258" t="str">
        <f t="shared" si="9"/>
        <v/>
      </c>
      <c r="N39" s="287"/>
      <c r="O39" s="288"/>
      <c r="P39" s="256" t="str">
        <f>IF(D39="","",VLOOKUP(D39,'Intervenants et coûts-j'!$C$15:$F$45,4,FALSE))</f>
        <v/>
      </c>
      <c r="Q39" s="257" t="str">
        <f t="shared" si="10"/>
        <v/>
      </c>
      <c r="R39" s="256" t="str">
        <f>IF(N39="","",IF(VLOOKUP(C39,'Intervenants et coûts-j'!$B$4:$E$12,4,FALSE)="Oui",Q39*0.15,0))</f>
        <v/>
      </c>
      <c r="S39" s="257" t="str">
        <f t="shared" si="11"/>
        <v/>
      </c>
      <c r="T39" s="259" t="str">
        <f>IF(B39="","",IF(LEFT(B39,18)="Réunion collective",350-SUMIF($B$5:B38,B39,$U$5:U38),""))</f>
        <v/>
      </c>
      <c r="U39" s="258" t="str">
        <f t="shared" si="12"/>
        <v/>
      </c>
      <c r="V39" s="260"/>
      <c r="X39" s="255" t="e">
        <f>"ListeIntervenants"&amp;VLOOKUP(C39,'Intervenants et coûts-j'!$B$5:$C$12,2,FALSE)</f>
        <v>#N/A</v>
      </c>
    </row>
    <row r="40" spans="1:24" x14ac:dyDescent="0.2">
      <c r="A40" s="122"/>
      <c r="B40" s="126"/>
      <c r="C40" s="124"/>
      <c r="D40" s="120"/>
      <c r="E40" s="642"/>
      <c r="F40" s="643"/>
      <c r="G40" s="256" t="str">
        <f>IF(D40="","",VLOOKUP(D40,'Intervenants et coûts-j'!$C$15:$F$45,3,FALSE))</f>
        <v/>
      </c>
      <c r="H40" s="256" t="str">
        <f>IF(D40="","",VLOOKUP(D40,'Intervenants et coûts-j'!$C$15:$F$45,4,FALSE))</f>
        <v/>
      </c>
      <c r="I40" s="256" t="str">
        <f t="shared" si="7"/>
        <v/>
      </c>
      <c r="J40" s="256" t="str">
        <f>IF(C40="","",IF(VLOOKUP(C40,'Intervenants et coûts-j'!$B$4:$E$12,4,FALSE)="Oui",I40*0.15,0))</f>
        <v/>
      </c>
      <c r="K40" s="257" t="str">
        <f t="shared" si="8"/>
        <v/>
      </c>
      <c r="L40" s="257" t="str">
        <f>IF(B40="","",IF(LEFT(B40,18)="Réunion collective",350-SUMIF($B$5:B39,B40,$M$5:M39),""))</f>
        <v/>
      </c>
      <c r="M40" s="258" t="str">
        <f t="shared" si="9"/>
        <v/>
      </c>
      <c r="N40" s="287"/>
      <c r="O40" s="288"/>
      <c r="P40" s="256" t="str">
        <f>IF(D40="","",VLOOKUP(D40,'Intervenants et coûts-j'!$C$15:$F$45,4,FALSE))</f>
        <v/>
      </c>
      <c r="Q40" s="257" t="str">
        <f t="shared" si="10"/>
        <v/>
      </c>
      <c r="R40" s="256" t="str">
        <f>IF(N40="","",IF(VLOOKUP(C40,'Intervenants et coûts-j'!$B$4:$E$12,4,FALSE)="Oui",Q40*0.15,0))</f>
        <v/>
      </c>
      <c r="S40" s="257" t="str">
        <f t="shared" si="11"/>
        <v/>
      </c>
      <c r="T40" s="259" t="str">
        <f>IF(B40="","",IF(LEFT(B40,18)="Réunion collective",350-SUMIF($B$5:B39,B40,$U$5:U39),""))</f>
        <v/>
      </c>
      <c r="U40" s="258" t="str">
        <f t="shared" si="12"/>
        <v/>
      </c>
      <c r="V40" s="260"/>
      <c r="X40" s="255" t="e">
        <f>"ListeIntervenants"&amp;VLOOKUP(C40,'Intervenants et coûts-j'!$B$5:$C$12,2,FALSE)</f>
        <v>#N/A</v>
      </c>
    </row>
    <row r="41" spans="1:24" x14ac:dyDescent="0.2">
      <c r="A41" s="122"/>
      <c r="B41" s="126"/>
      <c r="C41" s="124"/>
      <c r="D41" s="120"/>
      <c r="E41" s="642"/>
      <c r="F41" s="643"/>
      <c r="G41" s="256" t="str">
        <f>IF(D41="","",VLOOKUP(D41,'Intervenants et coûts-j'!$C$15:$F$45,3,FALSE))</f>
        <v/>
      </c>
      <c r="H41" s="256" t="str">
        <f>IF(D41="","",VLOOKUP(D41,'Intervenants et coûts-j'!$C$15:$F$45,4,FALSE))</f>
        <v/>
      </c>
      <c r="I41" s="256" t="str">
        <f t="shared" si="7"/>
        <v/>
      </c>
      <c r="J41" s="256" t="str">
        <f>IF(C41="","",IF(VLOOKUP(C41,'Intervenants et coûts-j'!$B$4:$E$12,4,FALSE)="Oui",I41*0.15,0))</f>
        <v/>
      </c>
      <c r="K41" s="257" t="str">
        <f t="shared" si="8"/>
        <v/>
      </c>
      <c r="L41" s="257" t="str">
        <f>IF(B41="","",IF(LEFT(B41,18)="Réunion collective",350-SUMIF($B$5:B40,B41,$M$5:M40),""))</f>
        <v/>
      </c>
      <c r="M41" s="258" t="str">
        <f t="shared" si="9"/>
        <v/>
      </c>
      <c r="N41" s="287"/>
      <c r="O41" s="288"/>
      <c r="P41" s="256" t="str">
        <f>IF(D41="","",VLOOKUP(D41,'Intervenants et coûts-j'!$C$15:$F$45,4,FALSE))</f>
        <v/>
      </c>
      <c r="Q41" s="257" t="str">
        <f t="shared" si="10"/>
        <v/>
      </c>
      <c r="R41" s="256" t="str">
        <f>IF(N41="","",IF(VLOOKUP(C41,'Intervenants et coûts-j'!$B$4:$E$12,4,FALSE)="Oui",Q41*0.15,0))</f>
        <v/>
      </c>
      <c r="S41" s="257" t="str">
        <f t="shared" si="11"/>
        <v/>
      </c>
      <c r="T41" s="259" t="str">
        <f>IF(B41="","",IF(LEFT(B41,18)="Réunion collective",350-SUMIF($B$5:B40,B41,$U$5:U40),""))</f>
        <v/>
      </c>
      <c r="U41" s="258" t="str">
        <f t="shared" si="12"/>
        <v/>
      </c>
      <c r="V41" s="260"/>
      <c r="X41" s="255" t="e">
        <f>"ListeIntervenants"&amp;VLOOKUP(C41,'Intervenants et coûts-j'!$B$5:$C$12,2,FALSE)</f>
        <v>#N/A</v>
      </c>
    </row>
    <row r="42" spans="1:24" x14ac:dyDescent="0.2">
      <c r="A42" s="122"/>
      <c r="B42" s="126"/>
      <c r="C42" s="124"/>
      <c r="D42" s="120"/>
      <c r="E42" s="642"/>
      <c r="F42" s="643"/>
      <c r="G42" s="256" t="str">
        <f>IF(D42="","",VLOOKUP(D42,'Intervenants et coûts-j'!$C$15:$F$45,3,FALSE))</f>
        <v/>
      </c>
      <c r="H42" s="256" t="str">
        <f>IF(D42="","",VLOOKUP(D42,'Intervenants et coûts-j'!$C$15:$F$45,4,FALSE))</f>
        <v/>
      </c>
      <c r="I42" s="256" t="str">
        <f t="shared" si="7"/>
        <v/>
      </c>
      <c r="J42" s="256" t="str">
        <f>IF(C42="","",IF(VLOOKUP(C42,'Intervenants et coûts-j'!$B$4:$E$12,4,FALSE)="Oui",I42*0.15,0))</f>
        <v/>
      </c>
      <c r="K42" s="257" t="str">
        <f t="shared" si="8"/>
        <v/>
      </c>
      <c r="L42" s="257" t="str">
        <f>IF(B42="","",IF(LEFT(B42,18)="Réunion collective",350-SUMIF($B$5:B41,B42,$M$5:M41),""))</f>
        <v/>
      </c>
      <c r="M42" s="258" t="str">
        <f t="shared" si="9"/>
        <v/>
      </c>
      <c r="N42" s="287"/>
      <c r="O42" s="288"/>
      <c r="P42" s="256" t="str">
        <f>IF(D42="","",VLOOKUP(D42,'Intervenants et coûts-j'!$C$15:$F$45,4,FALSE))</f>
        <v/>
      </c>
      <c r="Q42" s="257" t="str">
        <f t="shared" si="10"/>
        <v/>
      </c>
      <c r="R42" s="256" t="str">
        <f>IF(N42="","",IF(VLOOKUP(C42,'Intervenants et coûts-j'!$B$4:$E$12,4,FALSE)="Oui",Q42*0.15,0))</f>
        <v/>
      </c>
      <c r="S42" s="257" t="str">
        <f t="shared" si="11"/>
        <v/>
      </c>
      <c r="T42" s="259" t="str">
        <f>IF(B42="","",IF(LEFT(B42,18)="Réunion collective",350-SUMIF($B$5:B41,B42,$U$5:U41),""))</f>
        <v/>
      </c>
      <c r="U42" s="258" t="str">
        <f t="shared" si="12"/>
        <v/>
      </c>
      <c r="V42" s="260"/>
      <c r="X42" s="255" t="e">
        <f>"ListeIntervenants"&amp;VLOOKUP(C42,'Intervenants et coûts-j'!$B$5:$C$12,2,FALSE)</f>
        <v>#N/A</v>
      </c>
    </row>
    <row r="43" spans="1:24" x14ac:dyDescent="0.2">
      <c r="A43" s="122"/>
      <c r="B43" s="126"/>
      <c r="C43" s="124"/>
      <c r="D43" s="120"/>
      <c r="E43" s="642"/>
      <c r="F43" s="643"/>
      <c r="G43" s="256" t="str">
        <f>IF(D43="","",VLOOKUP(D43,'Intervenants et coûts-j'!$C$15:$F$45,3,FALSE))</f>
        <v/>
      </c>
      <c r="H43" s="256" t="str">
        <f>IF(D43="","",VLOOKUP(D43,'Intervenants et coûts-j'!$C$15:$F$45,4,FALSE))</f>
        <v/>
      </c>
      <c r="I43" s="256" t="str">
        <f t="shared" si="7"/>
        <v/>
      </c>
      <c r="J43" s="256" t="str">
        <f>IF(C43="","",IF(VLOOKUP(C43,'Intervenants et coûts-j'!$B$4:$E$12,4,FALSE)="Oui",I43*0.15,0))</f>
        <v/>
      </c>
      <c r="K43" s="257" t="str">
        <f t="shared" si="8"/>
        <v/>
      </c>
      <c r="L43" s="257" t="str">
        <f>IF(B43="","",IF(LEFT(B43,18)="Réunion collective",350-SUMIF($B$5:B42,B43,$M$5:M42),""))</f>
        <v/>
      </c>
      <c r="M43" s="258" t="str">
        <f t="shared" si="9"/>
        <v/>
      </c>
      <c r="N43" s="287"/>
      <c r="O43" s="288"/>
      <c r="P43" s="256" t="str">
        <f>IF(D43="","",VLOOKUP(D43,'Intervenants et coûts-j'!$C$15:$F$45,4,FALSE))</f>
        <v/>
      </c>
      <c r="Q43" s="257" t="str">
        <f t="shared" si="10"/>
        <v/>
      </c>
      <c r="R43" s="256" t="str">
        <f>IF(N43="","",IF(VLOOKUP(C43,'Intervenants et coûts-j'!$B$4:$E$12,4,FALSE)="Oui",Q43*0.15,0))</f>
        <v/>
      </c>
      <c r="S43" s="257" t="str">
        <f t="shared" si="11"/>
        <v/>
      </c>
      <c r="T43" s="259" t="str">
        <f>IF(B43="","",IF(LEFT(B43,18)="Réunion collective",350-SUMIF($B$5:B42,B43,$U$5:U42),""))</f>
        <v/>
      </c>
      <c r="U43" s="258" t="str">
        <f t="shared" si="12"/>
        <v/>
      </c>
      <c r="V43" s="260"/>
      <c r="X43" s="255" t="e">
        <f>"ListeIntervenants"&amp;VLOOKUP(C43,'Intervenants et coûts-j'!$B$5:$C$12,2,FALSE)</f>
        <v>#N/A</v>
      </c>
    </row>
    <row r="44" spans="1:24" x14ac:dyDescent="0.2">
      <c r="A44" s="122"/>
      <c r="B44" s="126"/>
      <c r="C44" s="124"/>
      <c r="D44" s="120"/>
      <c r="E44" s="642"/>
      <c r="F44" s="643"/>
      <c r="G44" s="256" t="str">
        <f>IF(D44="","",VLOOKUP(D44,'Intervenants et coûts-j'!$C$15:$F$45,3,FALSE))</f>
        <v/>
      </c>
      <c r="H44" s="256" t="str">
        <f>IF(D44="","",VLOOKUP(D44,'Intervenants et coûts-j'!$C$15:$F$45,4,FALSE))</f>
        <v/>
      </c>
      <c r="I44" s="256" t="str">
        <f t="shared" si="7"/>
        <v/>
      </c>
      <c r="J44" s="256" t="str">
        <f>IF(C44="","",IF(VLOOKUP(C44,'Intervenants et coûts-j'!$B$4:$E$12,4,FALSE)="Oui",I44*0.15,0))</f>
        <v/>
      </c>
      <c r="K44" s="257" t="str">
        <f t="shared" si="8"/>
        <v/>
      </c>
      <c r="L44" s="257" t="str">
        <f>IF(B44="","",IF(LEFT(B44,18)="Réunion collective",350-SUMIF($B$5:B43,B44,$M$5:M43),""))</f>
        <v/>
      </c>
      <c r="M44" s="258" t="str">
        <f t="shared" si="9"/>
        <v/>
      </c>
      <c r="N44" s="287"/>
      <c r="O44" s="288"/>
      <c r="P44" s="256" t="str">
        <f>IF(D44="","",VLOOKUP(D44,'Intervenants et coûts-j'!$C$15:$F$45,4,FALSE))</f>
        <v/>
      </c>
      <c r="Q44" s="257" t="str">
        <f t="shared" si="10"/>
        <v/>
      </c>
      <c r="R44" s="256" t="str">
        <f>IF(N44="","",IF(VLOOKUP(C44,'Intervenants et coûts-j'!$B$4:$E$12,4,FALSE)="Oui",Q44*0.15,0))</f>
        <v/>
      </c>
      <c r="S44" s="257" t="str">
        <f t="shared" si="11"/>
        <v/>
      </c>
      <c r="T44" s="259" t="str">
        <f>IF(B44="","",IF(LEFT(B44,18)="Réunion collective",350-SUMIF($B$5:B43,B44,$U$5:U43),""))</f>
        <v/>
      </c>
      <c r="U44" s="258" t="str">
        <f t="shared" si="12"/>
        <v/>
      </c>
      <c r="V44" s="260"/>
      <c r="X44" s="255" t="e">
        <f>"ListeIntervenants"&amp;VLOOKUP(C44,'Intervenants et coûts-j'!$B$5:$C$12,2,FALSE)</f>
        <v>#N/A</v>
      </c>
    </row>
    <row r="45" spans="1:24" x14ac:dyDescent="0.2">
      <c r="A45" s="122"/>
      <c r="B45" s="126"/>
      <c r="C45" s="124"/>
      <c r="D45" s="120"/>
      <c r="E45" s="642"/>
      <c r="F45" s="643"/>
      <c r="G45" s="256" t="str">
        <f>IF(D45="","",VLOOKUP(D45,'Intervenants et coûts-j'!$C$15:$F$45,3,FALSE))</f>
        <v/>
      </c>
      <c r="H45" s="256" t="str">
        <f>IF(D45="","",VLOOKUP(D45,'Intervenants et coûts-j'!$C$15:$F$45,4,FALSE))</f>
        <v/>
      </c>
      <c r="I45" s="256" t="str">
        <f t="shared" si="7"/>
        <v/>
      </c>
      <c r="J45" s="256" t="str">
        <f>IF(C45="","",IF(VLOOKUP(C45,'Intervenants et coûts-j'!$B$4:$E$12,4,FALSE)="Oui",I45*0.15,0))</f>
        <v/>
      </c>
      <c r="K45" s="257" t="str">
        <f t="shared" si="8"/>
        <v/>
      </c>
      <c r="L45" s="257" t="str">
        <f>IF(B45="","",IF(LEFT(B45,18)="Réunion collective",350-SUMIF($B$5:B44,B45,$M$5:M44),""))</f>
        <v/>
      </c>
      <c r="M45" s="258" t="str">
        <f t="shared" si="9"/>
        <v/>
      </c>
      <c r="N45" s="287"/>
      <c r="O45" s="288"/>
      <c r="P45" s="256" t="str">
        <f>IF(D45="","",VLOOKUP(D45,'Intervenants et coûts-j'!$C$15:$F$45,4,FALSE))</f>
        <v/>
      </c>
      <c r="Q45" s="257" t="str">
        <f t="shared" si="10"/>
        <v/>
      </c>
      <c r="R45" s="256" t="str">
        <f>IF(N45="","",IF(VLOOKUP(C45,'Intervenants et coûts-j'!$B$4:$E$12,4,FALSE)="Oui",Q45*0.15,0))</f>
        <v/>
      </c>
      <c r="S45" s="257" t="str">
        <f t="shared" si="11"/>
        <v/>
      </c>
      <c r="T45" s="259" t="str">
        <f>IF(B45="","",IF(LEFT(B45,18)="Réunion collective",350-SUMIF($B$5:B44,B45,$U$5:U44),""))</f>
        <v/>
      </c>
      <c r="U45" s="258" t="str">
        <f t="shared" si="12"/>
        <v/>
      </c>
      <c r="V45" s="260"/>
      <c r="X45" s="255" t="e">
        <f>"ListeIntervenants"&amp;VLOOKUP(C45,'Intervenants et coûts-j'!$B$5:$C$12,2,FALSE)</f>
        <v>#N/A</v>
      </c>
    </row>
    <row r="46" spans="1:24" x14ac:dyDescent="0.2">
      <c r="A46" s="122"/>
      <c r="B46" s="126"/>
      <c r="C46" s="124"/>
      <c r="D46" s="120"/>
      <c r="E46" s="642"/>
      <c r="F46" s="643"/>
      <c r="G46" s="256" t="str">
        <f>IF(D46="","",VLOOKUP(D46,'Intervenants et coûts-j'!$C$15:$F$45,3,FALSE))</f>
        <v/>
      </c>
      <c r="H46" s="256" t="str">
        <f>IF(D46="","",VLOOKUP(D46,'Intervenants et coûts-j'!$C$15:$F$45,4,FALSE))</f>
        <v/>
      </c>
      <c r="I46" s="256" t="str">
        <f t="shared" si="7"/>
        <v/>
      </c>
      <c r="J46" s="256" t="str">
        <f>IF(C46="","",IF(VLOOKUP(C46,'Intervenants et coûts-j'!$B$4:$E$12,4,FALSE)="Oui",I46*0.15,0))</f>
        <v/>
      </c>
      <c r="K46" s="257" t="str">
        <f t="shared" si="8"/>
        <v/>
      </c>
      <c r="L46" s="257" t="str">
        <f>IF(B46="","",IF(LEFT(B46,18)="Réunion collective",350-SUMIF($B$5:B45,B46,$M$5:M45),""))</f>
        <v/>
      </c>
      <c r="M46" s="258" t="str">
        <f t="shared" si="9"/>
        <v/>
      </c>
      <c r="N46" s="287"/>
      <c r="O46" s="288"/>
      <c r="P46" s="256" t="str">
        <f>IF(D46="","",VLOOKUP(D46,'Intervenants et coûts-j'!$C$15:$F$45,4,FALSE))</f>
        <v/>
      </c>
      <c r="Q46" s="257" t="str">
        <f t="shared" si="10"/>
        <v/>
      </c>
      <c r="R46" s="256" t="str">
        <f>IF(N46="","",IF(VLOOKUP(C46,'Intervenants et coûts-j'!$B$4:$E$12,4,FALSE)="Oui",Q46*0.15,0))</f>
        <v/>
      </c>
      <c r="S46" s="257" t="str">
        <f t="shared" si="11"/>
        <v/>
      </c>
      <c r="T46" s="259" t="str">
        <f>IF(B46="","",IF(LEFT(B46,18)="Réunion collective",350-SUMIF($B$5:B45,B46,$U$5:U45),""))</f>
        <v/>
      </c>
      <c r="U46" s="258" t="str">
        <f t="shared" si="12"/>
        <v/>
      </c>
      <c r="V46" s="260"/>
      <c r="X46" s="255" t="e">
        <f>"ListeIntervenants"&amp;VLOOKUP(C46,'Intervenants et coûts-j'!$B$5:$C$12,2,FALSE)</f>
        <v>#N/A</v>
      </c>
    </row>
    <row r="47" spans="1:24" x14ac:dyDescent="0.2">
      <c r="A47" s="122"/>
      <c r="B47" s="126"/>
      <c r="C47" s="124"/>
      <c r="D47" s="120"/>
      <c r="E47" s="642"/>
      <c r="F47" s="643"/>
      <c r="G47" s="256" t="str">
        <f>IF(D47="","",VLOOKUP(D47,'Intervenants et coûts-j'!$C$15:$F$45,3,FALSE))</f>
        <v/>
      </c>
      <c r="H47" s="256" t="str">
        <f>IF(D47="","",VLOOKUP(D47,'Intervenants et coûts-j'!$C$15:$F$45,4,FALSE))</f>
        <v/>
      </c>
      <c r="I47" s="256" t="str">
        <f t="shared" si="7"/>
        <v/>
      </c>
      <c r="J47" s="256" t="str">
        <f>IF(C47="","",IF(VLOOKUP(C47,'Intervenants et coûts-j'!$B$4:$E$12,4,FALSE)="Oui",I47*0.15,0))</f>
        <v/>
      </c>
      <c r="K47" s="257" t="str">
        <f t="shared" si="8"/>
        <v/>
      </c>
      <c r="L47" s="257" t="str">
        <f>IF(B47="","",IF(LEFT(B47,18)="Réunion collective",350-SUMIF($B$5:B46,B47,$M$5:M46),""))</f>
        <v/>
      </c>
      <c r="M47" s="258" t="str">
        <f t="shared" si="9"/>
        <v/>
      </c>
      <c r="N47" s="287"/>
      <c r="O47" s="288"/>
      <c r="P47" s="256" t="str">
        <f>IF(D47="","",VLOOKUP(D47,'Intervenants et coûts-j'!$C$15:$F$45,4,FALSE))</f>
        <v/>
      </c>
      <c r="Q47" s="257" t="str">
        <f t="shared" si="10"/>
        <v/>
      </c>
      <c r="R47" s="256" t="str">
        <f>IF(N47="","",IF(VLOOKUP(C47,'Intervenants et coûts-j'!$B$4:$E$12,4,FALSE)="Oui",Q47*0.15,0))</f>
        <v/>
      </c>
      <c r="S47" s="257" t="str">
        <f t="shared" si="11"/>
        <v/>
      </c>
      <c r="T47" s="259" t="str">
        <f>IF(B47="","",IF(LEFT(B47,18)="Réunion collective",350-SUMIF($B$5:B46,B47,$U$5:U46),""))</f>
        <v/>
      </c>
      <c r="U47" s="258" t="str">
        <f t="shared" si="12"/>
        <v/>
      </c>
      <c r="V47" s="260"/>
      <c r="X47" s="255" t="e">
        <f>"ListeIntervenants"&amp;VLOOKUP(C47,'Intervenants et coûts-j'!$B$5:$C$12,2,FALSE)</f>
        <v>#N/A</v>
      </c>
    </row>
    <row r="48" spans="1:24" x14ac:dyDescent="0.2">
      <c r="A48" s="122"/>
      <c r="B48" s="126"/>
      <c r="C48" s="124"/>
      <c r="D48" s="120"/>
      <c r="E48" s="642"/>
      <c r="F48" s="643"/>
      <c r="G48" s="256" t="str">
        <f>IF(D48="","",VLOOKUP(D48,'Intervenants et coûts-j'!$C$15:$F$45,3,FALSE))</f>
        <v/>
      </c>
      <c r="H48" s="256" t="str">
        <f>IF(D48="","",VLOOKUP(D48,'Intervenants et coûts-j'!$C$15:$F$45,4,FALSE))</f>
        <v/>
      </c>
      <c r="I48" s="256" t="str">
        <f t="shared" si="7"/>
        <v/>
      </c>
      <c r="J48" s="256" t="str">
        <f>IF(C48="","",IF(VLOOKUP(C48,'Intervenants et coûts-j'!$B$4:$E$12,4,FALSE)="Oui",I48*0.15,0))</f>
        <v/>
      </c>
      <c r="K48" s="257" t="str">
        <f t="shared" si="8"/>
        <v/>
      </c>
      <c r="L48" s="257" t="str">
        <f>IF(B48="","",IF(LEFT(B48,18)="Réunion collective",350-SUMIF($B$5:B47,B48,$M$5:M47),""))</f>
        <v/>
      </c>
      <c r="M48" s="258" t="str">
        <f t="shared" si="9"/>
        <v/>
      </c>
      <c r="N48" s="287"/>
      <c r="O48" s="288"/>
      <c r="P48" s="256" t="str">
        <f>IF(D48="","",VLOOKUP(D48,'Intervenants et coûts-j'!$C$15:$F$45,4,FALSE))</f>
        <v/>
      </c>
      <c r="Q48" s="257" t="str">
        <f t="shared" si="10"/>
        <v/>
      </c>
      <c r="R48" s="256" t="str">
        <f>IF(N48="","",IF(VLOOKUP(C48,'Intervenants et coûts-j'!$B$4:$E$12,4,FALSE)="Oui",Q48*0.15,0))</f>
        <v/>
      </c>
      <c r="S48" s="257" t="str">
        <f t="shared" si="11"/>
        <v/>
      </c>
      <c r="T48" s="259" t="str">
        <f>IF(B48="","",IF(LEFT(B48,18)="Réunion collective",350-SUMIF($B$5:B47,B48,$U$5:U47),""))</f>
        <v/>
      </c>
      <c r="U48" s="258" t="str">
        <f t="shared" si="12"/>
        <v/>
      </c>
      <c r="V48" s="260"/>
      <c r="X48" s="255" t="e">
        <f>"ListeIntervenants"&amp;VLOOKUP(C48,'Intervenants et coûts-j'!$B$5:$C$12,2,FALSE)</f>
        <v>#N/A</v>
      </c>
    </row>
    <row r="49" spans="1:24" x14ac:dyDescent="0.2">
      <c r="A49" s="122"/>
      <c r="B49" s="126"/>
      <c r="C49" s="124"/>
      <c r="D49" s="120"/>
      <c r="E49" s="642"/>
      <c r="F49" s="643"/>
      <c r="G49" s="256" t="str">
        <f>IF(D49="","",VLOOKUP(D49,'Intervenants et coûts-j'!$C$15:$F$45,3,FALSE))</f>
        <v/>
      </c>
      <c r="H49" s="256" t="str">
        <f>IF(D49="","",VLOOKUP(D49,'Intervenants et coûts-j'!$C$15:$F$45,4,FALSE))</f>
        <v/>
      </c>
      <c r="I49" s="256" t="str">
        <f t="shared" si="7"/>
        <v/>
      </c>
      <c r="J49" s="256" t="str">
        <f>IF(C49="","",IF(VLOOKUP(C49,'Intervenants et coûts-j'!$B$4:$E$12,4,FALSE)="Oui",I49*0.15,0))</f>
        <v/>
      </c>
      <c r="K49" s="257" t="str">
        <f t="shared" si="8"/>
        <v/>
      </c>
      <c r="L49" s="257" t="str">
        <f>IF(B49="","",IF(LEFT(B49,18)="Réunion collective",350-SUMIF($B$5:B48,B49,$M$5:M48),""))</f>
        <v/>
      </c>
      <c r="M49" s="258" t="str">
        <f t="shared" si="9"/>
        <v/>
      </c>
      <c r="N49" s="287"/>
      <c r="O49" s="288"/>
      <c r="P49" s="256" t="str">
        <f>IF(D49="","",VLOOKUP(D49,'Intervenants et coûts-j'!$C$15:$F$45,4,FALSE))</f>
        <v/>
      </c>
      <c r="Q49" s="257" t="str">
        <f t="shared" si="10"/>
        <v/>
      </c>
      <c r="R49" s="256" t="str">
        <f>IF(N49="","",IF(VLOOKUP(C49,'Intervenants et coûts-j'!$B$4:$E$12,4,FALSE)="Oui",Q49*0.15,0))</f>
        <v/>
      </c>
      <c r="S49" s="257" t="str">
        <f t="shared" si="11"/>
        <v/>
      </c>
      <c r="T49" s="259" t="str">
        <f>IF(B49="","",IF(LEFT(B49,18)="Réunion collective",350-SUMIF($B$5:B48,B49,$U$5:U48),""))</f>
        <v/>
      </c>
      <c r="U49" s="258" t="str">
        <f t="shared" si="12"/>
        <v/>
      </c>
      <c r="V49" s="260"/>
      <c r="X49" s="255" t="e">
        <f>"ListeIntervenants"&amp;VLOOKUP(C49,'Intervenants et coûts-j'!$B$5:$C$12,2,FALSE)</f>
        <v>#N/A</v>
      </c>
    </row>
    <row r="50" spans="1:24" x14ac:dyDescent="0.2">
      <c r="A50" s="122"/>
      <c r="B50" s="126"/>
      <c r="C50" s="124"/>
      <c r="D50" s="120"/>
      <c r="E50" s="642"/>
      <c r="F50" s="643"/>
      <c r="G50" s="256" t="str">
        <f>IF(D50="","",VLOOKUP(D50,'Intervenants et coûts-j'!$C$15:$F$45,3,FALSE))</f>
        <v/>
      </c>
      <c r="H50" s="256" t="str">
        <f>IF(D50="","",VLOOKUP(D50,'Intervenants et coûts-j'!$C$15:$F$45,4,FALSE))</f>
        <v/>
      </c>
      <c r="I50" s="256" t="str">
        <f t="shared" si="7"/>
        <v/>
      </c>
      <c r="J50" s="256" t="str">
        <f>IF(C50="","",IF(VLOOKUP(C50,'Intervenants et coûts-j'!$B$4:$E$12,4,FALSE)="Oui",I50*0.15,0))</f>
        <v/>
      </c>
      <c r="K50" s="257" t="str">
        <f t="shared" si="8"/>
        <v/>
      </c>
      <c r="L50" s="257" t="str">
        <f>IF(B50="","",IF(LEFT(B50,18)="Réunion collective",350-SUMIF($B$5:B49,B50,$M$5:M49),""))</f>
        <v/>
      </c>
      <c r="M50" s="258" t="str">
        <f t="shared" si="9"/>
        <v/>
      </c>
      <c r="N50" s="287"/>
      <c r="O50" s="288"/>
      <c r="P50" s="256" t="str">
        <f>IF(D50="","",VLOOKUP(D50,'Intervenants et coûts-j'!$C$15:$F$45,4,FALSE))</f>
        <v/>
      </c>
      <c r="Q50" s="257" t="str">
        <f t="shared" si="10"/>
        <v/>
      </c>
      <c r="R50" s="256" t="str">
        <f>IF(N50="","",IF(VLOOKUP(C50,'Intervenants et coûts-j'!$B$4:$E$12,4,FALSE)="Oui",Q50*0.15,0))</f>
        <v/>
      </c>
      <c r="S50" s="257" t="str">
        <f t="shared" si="11"/>
        <v/>
      </c>
      <c r="T50" s="259" t="str">
        <f>IF(B50="","",IF(LEFT(B50,18)="Réunion collective",350-SUMIF($B$5:B49,B50,$U$5:U49),""))</f>
        <v/>
      </c>
      <c r="U50" s="258" t="str">
        <f t="shared" si="12"/>
        <v/>
      </c>
      <c r="V50" s="260"/>
      <c r="X50" s="255" t="e">
        <f>"ListeIntervenants"&amp;VLOOKUP(C50,'Intervenants et coûts-j'!$B$5:$C$12,2,FALSE)</f>
        <v>#N/A</v>
      </c>
    </row>
    <row r="51" spans="1:24" x14ac:dyDescent="0.2">
      <c r="A51" s="122"/>
      <c r="B51" s="126"/>
      <c r="C51" s="124"/>
      <c r="D51" s="120"/>
      <c r="E51" s="642"/>
      <c r="F51" s="643"/>
      <c r="G51" s="256" t="str">
        <f>IF(D51="","",VLOOKUP(D51,'Intervenants et coûts-j'!$C$15:$F$45,3,FALSE))</f>
        <v/>
      </c>
      <c r="H51" s="256" t="str">
        <f>IF(D51="","",VLOOKUP(D51,'Intervenants et coûts-j'!$C$15:$F$45,4,FALSE))</f>
        <v/>
      </c>
      <c r="I51" s="256" t="str">
        <f t="shared" si="7"/>
        <v/>
      </c>
      <c r="J51" s="256" t="str">
        <f>IF(C51="","",IF(VLOOKUP(C51,'Intervenants et coûts-j'!$B$4:$E$12,4,FALSE)="Oui",I51*0.15,0))</f>
        <v/>
      </c>
      <c r="K51" s="257" t="str">
        <f t="shared" si="8"/>
        <v/>
      </c>
      <c r="L51" s="257" t="str">
        <f>IF(B51="","",IF(LEFT(B51,18)="Réunion collective",350-SUMIF($B$5:B50,B51,$M$5:M50),""))</f>
        <v/>
      </c>
      <c r="M51" s="258" t="str">
        <f t="shared" si="9"/>
        <v/>
      </c>
      <c r="N51" s="287"/>
      <c r="O51" s="288"/>
      <c r="P51" s="256" t="str">
        <f>IF(D51="","",VLOOKUP(D51,'Intervenants et coûts-j'!$C$15:$F$45,4,FALSE))</f>
        <v/>
      </c>
      <c r="Q51" s="257" t="str">
        <f t="shared" si="10"/>
        <v/>
      </c>
      <c r="R51" s="256" t="str">
        <f>IF(N51="","",IF(VLOOKUP(C51,'Intervenants et coûts-j'!$B$4:$E$12,4,FALSE)="Oui",Q51*0.15,0))</f>
        <v/>
      </c>
      <c r="S51" s="257" t="str">
        <f t="shared" si="11"/>
        <v/>
      </c>
      <c r="T51" s="259" t="str">
        <f>IF(B51="","",IF(LEFT(B51,18)="Réunion collective",350-SUMIF($B$5:B50,B51,$U$5:U50),""))</f>
        <v/>
      </c>
      <c r="U51" s="258" t="str">
        <f t="shared" si="12"/>
        <v/>
      </c>
      <c r="V51" s="260"/>
      <c r="X51" s="255" t="e">
        <f>"ListeIntervenants"&amp;VLOOKUP(C51,'Intervenants et coûts-j'!$B$5:$C$12,2,FALSE)</f>
        <v>#N/A</v>
      </c>
    </row>
    <row r="52" spans="1:24" x14ac:dyDescent="0.2">
      <c r="A52" s="122"/>
      <c r="B52" s="126"/>
      <c r="C52" s="124"/>
      <c r="D52" s="120"/>
      <c r="E52" s="642"/>
      <c r="F52" s="643"/>
      <c r="G52" s="256" t="str">
        <f>IF(D52="","",VLOOKUP(D52,'Intervenants et coûts-j'!$C$15:$F$45,3,FALSE))</f>
        <v/>
      </c>
      <c r="H52" s="256" t="str">
        <f>IF(D52="","",VLOOKUP(D52,'Intervenants et coûts-j'!$C$15:$F$45,4,FALSE))</f>
        <v/>
      </c>
      <c r="I52" s="256" t="str">
        <f t="shared" si="7"/>
        <v/>
      </c>
      <c r="J52" s="256" t="str">
        <f>IF(C52="","",IF(VLOOKUP(C52,'Intervenants et coûts-j'!$B$4:$E$12,4,FALSE)="Oui",I52*0.15,0))</f>
        <v/>
      </c>
      <c r="K52" s="257" t="str">
        <f t="shared" si="8"/>
        <v/>
      </c>
      <c r="L52" s="257" t="str">
        <f>IF(B52="","",IF(LEFT(B52,18)="Réunion collective",350-SUMIF($B$5:B51,B52,$M$5:M51),""))</f>
        <v/>
      </c>
      <c r="M52" s="258" t="str">
        <f t="shared" si="9"/>
        <v/>
      </c>
      <c r="N52" s="287"/>
      <c r="O52" s="288"/>
      <c r="P52" s="256" t="str">
        <f>IF(D52="","",VLOOKUP(D52,'Intervenants et coûts-j'!$C$15:$F$45,4,FALSE))</f>
        <v/>
      </c>
      <c r="Q52" s="257" t="str">
        <f t="shared" si="10"/>
        <v/>
      </c>
      <c r="R52" s="256" t="str">
        <f>IF(N52="","",IF(VLOOKUP(C52,'Intervenants et coûts-j'!$B$4:$E$12,4,FALSE)="Oui",Q52*0.15,0))</f>
        <v/>
      </c>
      <c r="S52" s="257" t="str">
        <f t="shared" si="11"/>
        <v/>
      </c>
      <c r="T52" s="259" t="str">
        <f>IF(B52="","",IF(LEFT(B52,18)="Réunion collective",350-SUMIF($B$5:B51,B52,$U$5:U51),""))</f>
        <v/>
      </c>
      <c r="U52" s="258" t="str">
        <f t="shared" si="12"/>
        <v/>
      </c>
      <c r="V52" s="260"/>
      <c r="X52" s="255" t="e">
        <f>"ListeIntervenants"&amp;VLOOKUP(C52,'Intervenants et coûts-j'!$B$5:$C$12,2,FALSE)</f>
        <v>#N/A</v>
      </c>
    </row>
    <row r="53" spans="1:24" x14ac:dyDescent="0.2">
      <c r="A53" s="122"/>
      <c r="B53" s="126"/>
      <c r="C53" s="124"/>
      <c r="D53" s="120"/>
      <c r="E53" s="642"/>
      <c r="F53" s="643"/>
      <c r="G53" s="256" t="str">
        <f>IF(D53="","",VLOOKUP(D53,'Intervenants et coûts-j'!$C$15:$F$45,3,FALSE))</f>
        <v/>
      </c>
      <c r="H53" s="256" t="str">
        <f>IF(D53="","",VLOOKUP(D53,'Intervenants et coûts-j'!$C$15:$F$45,4,FALSE))</f>
        <v/>
      </c>
      <c r="I53" s="256" t="str">
        <f t="shared" si="7"/>
        <v/>
      </c>
      <c r="J53" s="256" t="str">
        <f>IF(C53="","",IF(VLOOKUP(C53,'Intervenants et coûts-j'!$B$4:$E$12,4,FALSE)="Oui",I53*0.15,0))</f>
        <v/>
      </c>
      <c r="K53" s="257" t="str">
        <f t="shared" si="8"/>
        <v/>
      </c>
      <c r="L53" s="257" t="str">
        <f>IF(B53="","",IF(LEFT(B53,18)="Réunion collective",350-SUMIF($B$5:B52,B53,$M$5:M52),""))</f>
        <v/>
      </c>
      <c r="M53" s="258" t="str">
        <f t="shared" si="9"/>
        <v/>
      </c>
      <c r="N53" s="287"/>
      <c r="O53" s="288"/>
      <c r="P53" s="256" t="str">
        <f>IF(D53="","",VLOOKUP(D53,'Intervenants et coûts-j'!$C$15:$F$45,4,FALSE))</f>
        <v/>
      </c>
      <c r="Q53" s="257" t="str">
        <f t="shared" si="10"/>
        <v/>
      </c>
      <c r="R53" s="256" t="str">
        <f>IF(N53="","",IF(VLOOKUP(C53,'Intervenants et coûts-j'!$B$4:$E$12,4,FALSE)="Oui",Q53*0.15,0))</f>
        <v/>
      </c>
      <c r="S53" s="257" t="str">
        <f t="shared" si="11"/>
        <v/>
      </c>
      <c r="T53" s="259" t="str">
        <f>IF(B53="","",IF(LEFT(B53,18)="Réunion collective",350-SUMIF($B$5:B52,B53,$U$5:U52),""))</f>
        <v/>
      </c>
      <c r="U53" s="258" t="str">
        <f t="shared" si="12"/>
        <v/>
      </c>
      <c r="V53" s="260"/>
      <c r="X53" s="255" t="e">
        <f>"ListeIntervenants"&amp;VLOOKUP(C53,'Intervenants et coûts-j'!$B$5:$C$12,2,FALSE)</f>
        <v>#N/A</v>
      </c>
    </row>
    <row r="54" spans="1:24" x14ac:dyDescent="0.2">
      <c r="A54" s="122"/>
      <c r="B54" s="126"/>
      <c r="C54" s="124"/>
      <c r="D54" s="120"/>
      <c r="E54" s="642"/>
      <c r="F54" s="643"/>
      <c r="G54" s="256" t="str">
        <f>IF(D54="","",VLOOKUP(D54,'Intervenants et coûts-j'!$C$15:$F$45,3,FALSE))</f>
        <v/>
      </c>
      <c r="H54" s="256" t="str">
        <f>IF(D54="","",VLOOKUP(D54,'Intervenants et coûts-j'!$C$15:$F$45,4,FALSE))</f>
        <v/>
      </c>
      <c r="I54" s="256" t="str">
        <f t="shared" si="7"/>
        <v/>
      </c>
      <c r="J54" s="256" t="str">
        <f>IF(C54="","",IF(VLOOKUP(C54,'Intervenants et coûts-j'!$B$4:$E$12,4,FALSE)="Oui",I54*0.15,0))</f>
        <v/>
      </c>
      <c r="K54" s="257" t="str">
        <f t="shared" si="8"/>
        <v/>
      </c>
      <c r="L54" s="257" t="str">
        <f>IF(B54="","",IF(LEFT(B54,18)="Réunion collective",350-SUMIF($B$5:B53,B54,$M$5:M53),""))</f>
        <v/>
      </c>
      <c r="M54" s="258" t="str">
        <f t="shared" si="9"/>
        <v/>
      </c>
      <c r="N54" s="287"/>
      <c r="O54" s="288"/>
      <c r="P54" s="256" t="str">
        <f>IF(D54="","",VLOOKUP(D54,'Intervenants et coûts-j'!$C$15:$F$45,4,FALSE))</f>
        <v/>
      </c>
      <c r="Q54" s="257" t="str">
        <f t="shared" si="10"/>
        <v/>
      </c>
      <c r="R54" s="256" t="str">
        <f>IF(N54="","",IF(VLOOKUP(C54,'Intervenants et coûts-j'!$B$4:$E$12,4,FALSE)="Oui",Q54*0.15,0))</f>
        <v/>
      </c>
      <c r="S54" s="257" t="str">
        <f t="shared" si="11"/>
        <v/>
      </c>
      <c r="T54" s="259" t="str">
        <f>IF(B54="","",IF(LEFT(B54,18)="Réunion collective",350-SUMIF($B$5:B53,B54,$U$5:U53),""))</f>
        <v/>
      </c>
      <c r="U54" s="258" t="str">
        <f t="shared" si="12"/>
        <v/>
      </c>
      <c r="V54" s="260"/>
      <c r="X54" s="255" t="e">
        <f>"ListeIntervenants"&amp;VLOOKUP(C54,'Intervenants et coûts-j'!$B$5:$C$12,2,FALSE)</f>
        <v>#N/A</v>
      </c>
    </row>
    <row r="55" spans="1:24" x14ac:dyDescent="0.2">
      <c r="A55" s="122"/>
      <c r="B55" s="126"/>
      <c r="C55" s="124"/>
      <c r="D55" s="120"/>
      <c r="E55" s="642"/>
      <c r="F55" s="643"/>
      <c r="G55" s="256" t="str">
        <f>IF(D55="","",VLOOKUP(D55,'Intervenants et coûts-j'!$C$15:$F$45,3,FALSE))</f>
        <v/>
      </c>
      <c r="H55" s="256" t="str">
        <f>IF(D55="","",VLOOKUP(D55,'Intervenants et coûts-j'!$C$15:$F$45,4,FALSE))</f>
        <v/>
      </c>
      <c r="I55" s="256" t="str">
        <f t="shared" si="7"/>
        <v/>
      </c>
      <c r="J55" s="256" t="str">
        <f>IF(C55="","",IF(VLOOKUP(C55,'Intervenants et coûts-j'!$B$4:$E$12,4,FALSE)="Oui",I55*0.15,0))</f>
        <v/>
      </c>
      <c r="K55" s="257" t="str">
        <f t="shared" si="8"/>
        <v/>
      </c>
      <c r="L55" s="257" t="str">
        <f>IF(B55="","",IF(LEFT(B55,18)="Réunion collective",350-SUMIF($B$5:B54,B55,$M$5:M54),""))</f>
        <v/>
      </c>
      <c r="M55" s="258" t="str">
        <f t="shared" si="9"/>
        <v/>
      </c>
      <c r="N55" s="287"/>
      <c r="O55" s="288"/>
      <c r="P55" s="256" t="str">
        <f>IF(D55="","",VLOOKUP(D55,'Intervenants et coûts-j'!$C$15:$F$45,4,FALSE))</f>
        <v/>
      </c>
      <c r="Q55" s="257" t="str">
        <f t="shared" si="10"/>
        <v/>
      </c>
      <c r="R55" s="256" t="str">
        <f>IF(N55="","",IF(VLOOKUP(C55,'Intervenants et coûts-j'!$B$4:$E$12,4,FALSE)="Oui",Q55*0.15,0))</f>
        <v/>
      </c>
      <c r="S55" s="257" t="str">
        <f t="shared" si="11"/>
        <v/>
      </c>
      <c r="T55" s="259" t="str">
        <f>IF(B55="","",IF(LEFT(B55,18)="Réunion collective",350-SUMIF($B$5:B54,B55,$U$5:U54),""))</f>
        <v/>
      </c>
      <c r="U55" s="258" t="str">
        <f t="shared" si="12"/>
        <v/>
      </c>
      <c r="V55" s="260"/>
      <c r="X55" s="255" t="e">
        <f>"ListeIntervenants"&amp;VLOOKUP(C55,'Intervenants et coûts-j'!$B$5:$C$12,2,FALSE)</f>
        <v>#N/A</v>
      </c>
    </row>
    <row r="56" spans="1:24" x14ac:dyDescent="0.2">
      <c r="A56" s="122"/>
      <c r="B56" s="126"/>
      <c r="C56" s="124"/>
      <c r="D56" s="120"/>
      <c r="E56" s="642"/>
      <c r="F56" s="643"/>
      <c r="G56" s="256" t="str">
        <f>IF(D56="","",VLOOKUP(D56,'Intervenants et coûts-j'!$C$15:$F$45,3,FALSE))</f>
        <v/>
      </c>
      <c r="H56" s="256" t="str">
        <f>IF(D56="","",VLOOKUP(D56,'Intervenants et coûts-j'!$C$15:$F$45,4,FALSE))</f>
        <v/>
      </c>
      <c r="I56" s="256" t="str">
        <f t="shared" si="7"/>
        <v/>
      </c>
      <c r="J56" s="256" t="str">
        <f>IF(C56="","",IF(VLOOKUP(C56,'Intervenants et coûts-j'!$B$4:$E$12,4,FALSE)="Oui",I56*0.15,0))</f>
        <v/>
      </c>
      <c r="K56" s="257" t="str">
        <f t="shared" si="8"/>
        <v/>
      </c>
      <c r="L56" s="257" t="str">
        <f>IF(B56="","",IF(LEFT(B56,18)="Réunion collective",350-SUMIF($B$5:B55,B56,$M$5:M55),""))</f>
        <v/>
      </c>
      <c r="M56" s="258" t="str">
        <f t="shared" si="9"/>
        <v/>
      </c>
      <c r="N56" s="287"/>
      <c r="O56" s="288"/>
      <c r="P56" s="256" t="str">
        <f>IF(D56="","",VLOOKUP(D56,'Intervenants et coûts-j'!$C$15:$F$45,4,FALSE))</f>
        <v/>
      </c>
      <c r="Q56" s="257" t="str">
        <f t="shared" si="10"/>
        <v/>
      </c>
      <c r="R56" s="256" t="str">
        <f>IF(N56="","",IF(VLOOKUP(C56,'Intervenants et coûts-j'!$B$4:$E$12,4,FALSE)="Oui",Q56*0.15,0))</f>
        <v/>
      </c>
      <c r="S56" s="257" t="str">
        <f t="shared" si="11"/>
        <v/>
      </c>
      <c r="T56" s="259" t="str">
        <f>IF(B56="","",IF(LEFT(B56,18)="Réunion collective",350-SUMIF($B$5:B55,B56,$U$5:U55),""))</f>
        <v/>
      </c>
      <c r="U56" s="258" t="str">
        <f t="shared" si="12"/>
        <v/>
      </c>
      <c r="V56" s="260"/>
      <c r="X56" s="255" t="e">
        <f>"ListeIntervenants"&amp;VLOOKUP(C56,'Intervenants et coûts-j'!$B$5:$C$12,2,FALSE)</f>
        <v>#N/A</v>
      </c>
    </row>
    <row r="57" spans="1:24" x14ac:dyDescent="0.2">
      <c r="A57" s="122"/>
      <c r="B57" s="126"/>
      <c r="C57" s="124"/>
      <c r="D57" s="120"/>
      <c r="E57" s="642"/>
      <c r="F57" s="643"/>
      <c r="G57" s="256" t="str">
        <f>IF(D57="","",VLOOKUP(D57,'Intervenants et coûts-j'!$C$15:$F$45,3,FALSE))</f>
        <v/>
      </c>
      <c r="H57" s="256" t="str">
        <f>IF(D57="","",VLOOKUP(D57,'Intervenants et coûts-j'!$C$15:$F$45,4,FALSE))</f>
        <v/>
      </c>
      <c r="I57" s="256" t="str">
        <f t="shared" si="0"/>
        <v/>
      </c>
      <c r="J57" s="256" t="str">
        <f>IF(C57="","",IF(VLOOKUP(C57,'Intervenants et coûts-j'!$B$4:$E$12,4,FALSE)="Oui",I57*0.15,0))</f>
        <v/>
      </c>
      <c r="K57" s="257" t="str">
        <f t="shared" si="1"/>
        <v/>
      </c>
      <c r="L57" s="257" t="str">
        <f>IF(B57="","",IF(LEFT(B57,18)="Réunion collective",350-SUMIF($B$5:B20,B57,$M$5:M20),""))</f>
        <v/>
      </c>
      <c r="M57" s="258" t="str">
        <f t="shared" si="2"/>
        <v/>
      </c>
      <c r="N57" s="287"/>
      <c r="O57" s="288"/>
      <c r="P57" s="256" t="str">
        <f>IF(D57="","",VLOOKUP(D57,'Intervenants et coûts-j'!$C$15:$F$45,4,FALSE))</f>
        <v/>
      </c>
      <c r="Q57" s="257" t="str">
        <f t="shared" si="3"/>
        <v/>
      </c>
      <c r="R57" s="256" t="str">
        <f>IF(N57="","",IF(VLOOKUP(C57,'Intervenants et coûts-j'!$B$4:$E$12,4,FALSE)="Oui",Q57*0.15,0))</f>
        <v/>
      </c>
      <c r="S57" s="257" t="str">
        <f t="shared" si="4"/>
        <v/>
      </c>
      <c r="T57" s="259" t="str">
        <f>IF(B57="","",IF(LEFT(B57,18)="Réunion collective",350-SUMIF($B$5:B20,B57,$U$5:U20),""))</f>
        <v/>
      </c>
      <c r="U57" s="258" t="str">
        <f t="shared" si="5"/>
        <v/>
      </c>
      <c r="V57" s="260"/>
      <c r="X57" s="255" t="e">
        <f>"ListeIntervenants"&amp;VLOOKUP(C57,'Intervenants et coûts-j'!$B$5:$C$12,2,FALSE)</f>
        <v>#N/A</v>
      </c>
    </row>
    <row r="58" spans="1:24" x14ac:dyDescent="0.2">
      <c r="A58" s="127"/>
      <c r="B58" s="128"/>
      <c r="C58" s="130"/>
      <c r="D58" s="120"/>
      <c r="E58" s="644"/>
      <c r="F58" s="645"/>
      <c r="G58" s="261" t="str">
        <f>IF(D58="","",VLOOKUP(D58,'Intervenants et coûts-j'!$C$15:$F$45,3,FALSE))</f>
        <v/>
      </c>
      <c r="H58" s="261" t="str">
        <f>IF(D58="","",VLOOKUP(D58,'Intervenants et coûts-j'!$C$15:$F$45,4,FALSE))</f>
        <v/>
      </c>
      <c r="I58" s="261" t="str">
        <f t="shared" si="0"/>
        <v/>
      </c>
      <c r="J58" s="261" t="str">
        <f>IF(C58="","",IF(VLOOKUP(C58,'Intervenants et coûts-j'!$B$4:$E$12,4,FALSE)="Oui",I58*0.15,0))</f>
        <v/>
      </c>
      <c r="K58" s="262" t="str">
        <f t="shared" si="1"/>
        <v/>
      </c>
      <c r="L58" s="257" t="str">
        <f>IF(B58="","",IF(LEFT(B58,18)="Réunion collective",350-SUMIF($B$5:B57,B58,$M$5:M57),""))</f>
        <v/>
      </c>
      <c r="M58" s="263" t="str">
        <f t="shared" si="2"/>
        <v/>
      </c>
      <c r="N58" s="289"/>
      <c r="O58" s="290"/>
      <c r="P58" s="261" t="str">
        <f>IF(D58="","",VLOOKUP(D58,'Intervenants et coûts-j'!$C$15:$F$45,4,FALSE))</f>
        <v/>
      </c>
      <c r="Q58" s="264" t="str">
        <f t="shared" si="3"/>
        <v/>
      </c>
      <c r="R58" s="261" t="str">
        <f>IF(N58="","",IF(VLOOKUP(C58,'Intervenants et coûts-j'!$B$4:$E$12,4,FALSE)="Oui",Q58*0.15,0))</f>
        <v/>
      </c>
      <c r="S58" s="264" t="str">
        <f t="shared" si="4"/>
        <v/>
      </c>
      <c r="T58" s="259" t="str">
        <f>IF(B58="","",IF(LEFT(B58,18)="Réunion collective",350-SUMIF($B$5:B57,B58,$U$5:U57),""))</f>
        <v/>
      </c>
      <c r="U58" s="263" t="str">
        <f t="shared" si="5"/>
        <v/>
      </c>
      <c r="V58" s="265"/>
      <c r="X58" s="255" t="e">
        <f>"ListeIntervenants"&amp;VLOOKUP(C58,'Intervenants et coûts-j'!$B$5:$C$12,2,FALSE)</f>
        <v>#N/A</v>
      </c>
    </row>
    <row r="59" spans="1:24" s="272" customFormat="1" x14ac:dyDescent="0.2">
      <c r="A59" s="266"/>
      <c r="B59" s="266"/>
      <c r="C59" s="266"/>
      <c r="D59" s="49" t="s">
        <v>153</v>
      </c>
      <c r="E59" s="267">
        <f>SUM(E5:E58)</f>
        <v>0</v>
      </c>
      <c r="F59" s="268">
        <f t="shared" ref="F59:M59" si="13">SUM(F5:F58)</f>
        <v>0</v>
      </c>
      <c r="G59" s="269">
        <f t="shared" si="13"/>
        <v>0</v>
      </c>
      <c r="H59" s="269">
        <f t="shared" ref="H59" si="14">SUM(H5:H58)</f>
        <v>0</v>
      </c>
      <c r="I59" s="269">
        <f t="shared" ref="I59" si="15">SUM(I5:I58)</f>
        <v>0</v>
      </c>
      <c r="J59" s="269">
        <f t="shared" ref="J59" si="16">SUM(J5:J58)</f>
        <v>0</v>
      </c>
      <c r="K59" s="269">
        <f t="shared" ref="K59" si="17">SUM(K5:K58)</f>
        <v>0</v>
      </c>
      <c r="L59" s="269">
        <f t="shared" ref="L59" si="18">SUM(L5:L58)</f>
        <v>0</v>
      </c>
      <c r="M59" s="270">
        <f t="shared" si="13"/>
        <v>0</v>
      </c>
      <c r="N59" s="271">
        <f t="shared" ref="N59" si="19">SUM(N5:N58)</f>
        <v>0</v>
      </c>
      <c r="O59" s="271">
        <f t="shared" ref="O59" si="20">SUM(O5:O58)</f>
        <v>0</v>
      </c>
      <c r="P59" s="48">
        <f t="shared" ref="P59" si="21">SUM(P5:P58)</f>
        <v>0</v>
      </c>
      <c r="Q59" s="48">
        <f t="shared" ref="Q59" si="22">SUM(Q5:Q58)</f>
        <v>0</v>
      </c>
      <c r="R59" s="48">
        <f t="shared" ref="R59" si="23">SUM(R5:R58)</f>
        <v>0</v>
      </c>
      <c r="S59" s="48">
        <f t="shared" ref="S59" si="24">SUM(S5:S58)</f>
        <v>0</v>
      </c>
      <c r="T59" s="48" t="e">
        <f t="shared" ref="T59" si="25">SUM(T5:T58)</f>
        <v>#REF!</v>
      </c>
      <c r="U59" s="48">
        <f t="shared" ref="U59" si="26">SUM(U5:U58)</f>
        <v>0</v>
      </c>
      <c r="V59" s="45"/>
      <c r="X59" s="622"/>
    </row>
    <row r="60" spans="1:24" x14ac:dyDescent="0.2">
      <c r="A60" s="44"/>
      <c r="B60" s="44"/>
      <c r="C60" s="40"/>
      <c r="D60" s="40"/>
      <c r="E60" s="42"/>
      <c r="F60" s="42"/>
      <c r="G60" s="42"/>
      <c r="H60" s="42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3"/>
      <c r="V60" s="38"/>
    </row>
    <row r="61" spans="1:24" x14ac:dyDescent="0.2">
      <c r="A61" s="44"/>
      <c r="B61" s="44"/>
      <c r="C61" s="44"/>
      <c r="E61" s="44"/>
      <c r="F61" s="44"/>
      <c r="G61" s="55"/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4"/>
    </row>
    <row r="62" spans="1:24" x14ac:dyDescent="0.2">
      <c r="A62" s="39" t="s">
        <v>149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1"/>
    </row>
    <row r="63" spans="1:24" ht="38.25" x14ac:dyDescent="0.2">
      <c r="A63" s="97" t="s">
        <v>200</v>
      </c>
      <c r="B63" s="273" t="s">
        <v>70</v>
      </c>
      <c r="C63" s="209" t="s">
        <v>155</v>
      </c>
      <c r="D63" s="707" t="s">
        <v>162</v>
      </c>
      <c r="E63" s="700"/>
      <c r="F63" s="700"/>
      <c r="G63" s="708"/>
      <c r="H63" s="66" t="s">
        <v>156</v>
      </c>
      <c r="I63" s="87"/>
      <c r="J63" s="87"/>
      <c r="K63" s="87"/>
      <c r="L63" s="98" t="s">
        <v>102</v>
      </c>
      <c r="M63" s="66" t="s">
        <v>48</v>
      </c>
      <c r="N63" s="87"/>
      <c r="O63" s="87"/>
      <c r="P63" s="87"/>
      <c r="Q63" s="87"/>
      <c r="R63" s="87"/>
      <c r="S63" s="87"/>
      <c r="T63" s="87"/>
      <c r="U63" s="66" t="s">
        <v>49</v>
      </c>
      <c r="V63" s="61" t="s">
        <v>260</v>
      </c>
    </row>
    <row r="64" spans="1:24" x14ac:dyDescent="0.2">
      <c r="A64" s="465"/>
      <c r="B64" s="126"/>
      <c r="C64" s="210"/>
      <c r="D64" s="715"/>
      <c r="E64" s="714"/>
      <c r="F64" s="714"/>
      <c r="G64" s="716"/>
      <c r="H64" s="235"/>
      <c r="I64" s="274"/>
      <c r="J64" s="274"/>
      <c r="K64" s="274"/>
      <c r="L64" s="275"/>
      <c r="M64" s="139">
        <v>0</v>
      </c>
      <c r="N64" s="274"/>
      <c r="O64" s="274"/>
      <c r="P64" s="274"/>
      <c r="Q64" s="274"/>
      <c r="R64" s="274"/>
      <c r="S64" s="274"/>
      <c r="T64" s="274"/>
      <c r="U64" s="282">
        <v>0</v>
      </c>
      <c r="V64" s="276"/>
      <c r="W64" s="602"/>
    </row>
    <row r="65" spans="1:22" x14ac:dyDescent="0.2">
      <c r="A65" s="122"/>
      <c r="B65" s="126"/>
      <c r="C65" s="126"/>
      <c r="D65" s="711"/>
      <c r="E65" s="710"/>
      <c r="F65" s="710"/>
      <c r="G65" s="712"/>
      <c r="H65" s="236"/>
      <c r="I65" s="277"/>
      <c r="J65" s="277"/>
      <c r="K65" s="277"/>
      <c r="L65" s="278"/>
      <c r="M65" s="139">
        <v>0</v>
      </c>
      <c r="N65" s="277"/>
      <c r="O65" s="277"/>
      <c r="P65" s="277"/>
      <c r="Q65" s="277"/>
      <c r="R65" s="277"/>
      <c r="S65" s="277"/>
      <c r="T65" s="277"/>
      <c r="U65" s="283">
        <v>0</v>
      </c>
      <c r="V65" s="260"/>
    </row>
    <row r="66" spans="1:22" ht="15" customHeight="1" x14ac:dyDescent="0.2">
      <c r="A66" s="122"/>
      <c r="B66" s="126"/>
      <c r="C66" s="126"/>
      <c r="D66" s="711"/>
      <c r="E66" s="710"/>
      <c r="F66" s="710"/>
      <c r="G66" s="712"/>
      <c r="H66" s="236"/>
      <c r="I66" s="277"/>
      <c r="J66" s="277"/>
      <c r="K66" s="277"/>
      <c r="L66" s="278"/>
      <c r="M66" s="139">
        <v>0</v>
      </c>
      <c r="N66" s="277"/>
      <c r="O66" s="277"/>
      <c r="P66" s="277"/>
      <c r="Q66" s="277"/>
      <c r="R66" s="277"/>
      <c r="S66" s="277"/>
      <c r="T66" s="277"/>
      <c r="U66" s="283">
        <v>0</v>
      </c>
      <c r="V66" s="260"/>
    </row>
    <row r="67" spans="1:22" ht="15" customHeight="1" x14ac:dyDescent="0.2">
      <c r="A67" s="122"/>
      <c r="B67" s="126"/>
      <c r="C67" s="126"/>
      <c r="D67" s="711"/>
      <c r="E67" s="710"/>
      <c r="F67" s="710"/>
      <c r="G67" s="712"/>
      <c r="H67" s="236"/>
      <c r="I67" s="277"/>
      <c r="J67" s="277"/>
      <c r="K67" s="277"/>
      <c r="L67" s="278"/>
      <c r="M67" s="139">
        <v>0</v>
      </c>
      <c r="N67" s="277"/>
      <c r="O67" s="277"/>
      <c r="P67" s="277"/>
      <c r="Q67" s="277"/>
      <c r="R67" s="277"/>
      <c r="S67" s="277"/>
      <c r="T67" s="277"/>
      <c r="U67" s="283">
        <v>0</v>
      </c>
      <c r="V67" s="260"/>
    </row>
    <row r="68" spans="1:22" ht="15" customHeight="1" x14ac:dyDescent="0.2">
      <c r="A68" s="122"/>
      <c r="B68" s="126"/>
      <c r="C68" s="126"/>
      <c r="D68" s="711"/>
      <c r="E68" s="710"/>
      <c r="F68" s="710"/>
      <c r="G68" s="712"/>
      <c r="H68" s="236"/>
      <c r="I68" s="277"/>
      <c r="J68" s="277"/>
      <c r="K68" s="277"/>
      <c r="L68" s="278"/>
      <c r="M68" s="139">
        <v>0</v>
      </c>
      <c r="N68" s="277"/>
      <c r="O68" s="277"/>
      <c r="P68" s="277"/>
      <c r="Q68" s="277"/>
      <c r="R68" s="277"/>
      <c r="S68" s="277"/>
      <c r="T68" s="277"/>
      <c r="U68" s="283">
        <v>0</v>
      </c>
      <c r="V68" s="260"/>
    </row>
    <row r="69" spans="1:22" ht="15" customHeight="1" x14ac:dyDescent="0.2">
      <c r="A69" s="122"/>
      <c r="B69" s="126"/>
      <c r="C69" s="126"/>
      <c r="D69" s="711"/>
      <c r="E69" s="710"/>
      <c r="F69" s="710"/>
      <c r="G69" s="712"/>
      <c r="H69" s="236"/>
      <c r="I69" s="277"/>
      <c r="J69" s="277"/>
      <c r="K69" s="277"/>
      <c r="L69" s="278"/>
      <c r="M69" s="139">
        <v>0</v>
      </c>
      <c r="N69" s="277"/>
      <c r="O69" s="277"/>
      <c r="P69" s="277"/>
      <c r="Q69" s="277"/>
      <c r="R69" s="277"/>
      <c r="S69" s="277"/>
      <c r="T69" s="277"/>
      <c r="U69" s="283">
        <v>0</v>
      </c>
      <c r="V69" s="260"/>
    </row>
    <row r="70" spans="1:22" ht="15" customHeight="1" x14ac:dyDescent="0.2">
      <c r="A70" s="122"/>
      <c r="B70" s="126"/>
      <c r="C70" s="126"/>
      <c r="D70" s="711"/>
      <c r="E70" s="710"/>
      <c r="F70" s="710"/>
      <c r="G70" s="712"/>
      <c r="H70" s="236"/>
      <c r="I70" s="277"/>
      <c r="J70" s="277"/>
      <c r="K70" s="277"/>
      <c r="L70" s="278"/>
      <c r="M70" s="139">
        <v>0</v>
      </c>
      <c r="N70" s="277"/>
      <c r="O70" s="277"/>
      <c r="P70" s="277"/>
      <c r="Q70" s="277"/>
      <c r="R70" s="277"/>
      <c r="S70" s="277"/>
      <c r="T70" s="277"/>
      <c r="U70" s="283">
        <v>0</v>
      </c>
      <c r="V70" s="260"/>
    </row>
    <row r="71" spans="1:22" ht="15" customHeight="1" x14ac:dyDescent="0.2">
      <c r="A71" s="127"/>
      <c r="B71" s="238"/>
      <c r="C71" s="128"/>
      <c r="D71" s="723"/>
      <c r="E71" s="718"/>
      <c r="F71" s="718"/>
      <c r="G71" s="724"/>
      <c r="H71" s="237"/>
      <c r="I71" s="279"/>
      <c r="J71" s="279"/>
      <c r="K71" s="279"/>
      <c r="L71" s="280"/>
      <c r="M71" s="141">
        <v>0</v>
      </c>
      <c r="N71" s="279"/>
      <c r="O71" s="279"/>
      <c r="P71" s="279"/>
      <c r="Q71" s="279"/>
      <c r="R71" s="279"/>
      <c r="S71" s="279"/>
      <c r="T71" s="279"/>
      <c r="U71" s="284">
        <v>0</v>
      </c>
      <c r="V71" s="265"/>
    </row>
    <row r="72" spans="1:22" x14ac:dyDescent="0.2">
      <c r="A72" s="40"/>
      <c r="B72" s="40"/>
      <c r="C72" s="40"/>
      <c r="D72" s="40"/>
      <c r="E72" s="44"/>
      <c r="F72" s="44"/>
      <c r="G72" s="59" t="s">
        <v>153</v>
      </c>
      <c r="H72" s="59"/>
      <c r="I72" s="91"/>
      <c r="J72" s="91"/>
      <c r="K72" s="91"/>
      <c r="L72" s="53"/>
      <c r="M72" s="48">
        <f>SUM(M64:M71)</f>
        <v>0</v>
      </c>
      <c r="N72" s="91"/>
      <c r="O72" s="91"/>
      <c r="P72" s="91"/>
      <c r="Q72" s="91"/>
      <c r="R72" s="91"/>
      <c r="S72" s="91"/>
      <c r="T72" s="91"/>
      <c r="U72" s="58">
        <f>SUM(U64:U71)</f>
        <v>0</v>
      </c>
      <c r="V72" s="32"/>
    </row>
    <row r="73" spans="1:22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</row>
    <row r="75" spans="1:22" ht="12.75" customHeight="1" x14ac:dyDescent="0.2">
      <c r="C75" s="745" t="s">
        <v>81</v>
      </c>
      <c r="D75" s="746"/>
      <c r="E75" s="742" t="s">
        <v>167</v>
      </c>
      <c r="F75" s="743"/>
      <c r="G75" s="743"/>
      <c r="H75" s="743"/>
      <c r="I75" s="743"/>
      <c r="J75" s="743"/>
      <c r="K75" s="743"/>
      <c r="L75" s="744"/>
      <c r="N75" s="742" t="s">
        <v>166</v>
      </c>
      <c r="O75" s="743"/>
      <c r="P75" s="743"/>
      <c r="Q75" s="743"/>
      <c r="R75" s="743"/>
      <c r="S75" s="743"/>
      <c r="T75" s="743"/>
      <c r="U75" s="744"/>
    </row>
    <row r="76" spans="1:22" x14ac:dyDescent="0.2">
      <c r="C76" s="747" t="s">
        <v>43</v>
      </c>
      <c r="D76" s="748"/>
      <c r="E76" s="159">
        <f>Référentiel!M3</f>
        <v>0</v>
      </c>
      <c r="F76" s="159" t="str">
        <f>Référentiel!M4</f>
        <v>-</v>
      </c>
      <c r="G76" s="159" t="str">
        <f>Référentiel!M5</f>
        <v>-</v>
      </c>
      <c r="H76" s="159" t="str">
        <f>Référentiel!M6</f>
        <v>-</v>
      </c>
      <c r="I76" s="159" t="str">
        <f>Référentiel!M7</f>
        <v>-</v>
      </c>
      <c r="J76" s="159" t="str">
        <f>Référentiel!M8</f>
        <v>-</v>
      </c>
      <c r="K76" s="159" t="str">
        <f>Référentiel!M9</f>
        <v>-</v>
      </c>
      <c r="L76" s="242" t="str">
        <f>Référentiel!M10</f>
        <v>-</v>
      </c>
      <c r="N76" s="159">
        <f>E76</f>
        <v>0</v>
      </c>
      <c r="O76" s="159" t="str">
        <f t="shared" ref="O76:U76" si="27">F76</f>
        <v>-</v>
      </c>
      <c r="P76" s="159" t="str">
        <f t="shared" si="27"/>
        <v>-</v>
      </c>
      <c r="Q76" s="159" t="str">
        <f t="shared" si="27"/>
        <v>-</v>
      </c>
      <c r="R76" s="159" t="str">
        <f t="shared" si="27"/>
        <v>-</v>
      </c>
      <c r="S76" s="159" t="str">
        <f t="shared" si="27"/>
        <v>-</v>
      </c>
      <c r="T76" s="159" t="str">
        <f t="shared" si="27"/>
        <v>-</v>
      </c>
      <c r="U76" s="159" t="str">
        <f t="shared" si="27"/>
        <v>-</v>
      </c>
    </row>
    <row r="77" spans="1:22" ht="15" customHeight="1" x14ac:dyDescent="0.2">
      <c r="C77" s="749" t="s">
        <v>68</v>
      </c>
      <c r="D77" s="750"/>
      <c r="E77" s="246">
        <f>SUMIF($C$5:$C$58,E76,$I$5:$I$58)</f>
        <v>0</v>
      </c>
      <c r="F77" s="247">
        <f>SUMIF(C5:C58,F76,I5:I58)</f>
        <v>0</v>
      </c>
      <c r="G77" s="247">
        <f>SUMIF(C5:C58,G76,I5:I58)</f>
        <v>0</v>
      </c>
      <c r="H77" s="247">
        <f>SUMIF(C5:C58,H76,I5:I58)</f>
        <v>0</v>
      </c>
      <c r="I77" s="247">
        <f>SUMIF(C5:C58,I76,I5:I58)</f>
        <v>0</v>
      </c>
      <c r="J77" s="247">
        <f>SUMIF(C5:C58,J76,I5:I58)</f>
        <v>0</v>
      </c>
      <c r="K77" s="247">
        <f>SUMIF(C5:C58,K76,I5:I58)</f>
        <v>0</v>
      </c>
      <c r="L77" s="248">
        <f>SUMIF(D5:D58,L76,J5:J58)</f>
        <v>0</v>
      </c>
      <c r="N77" s="246">
        <f>SUMIF($C$5:$C$58,N76,$Q$5:$Q$58)</f>
        <v>0</v>
      </c>
      <c r="O77" s="247">
        <f t="shared" ref="O77:U77" si="28">SUMIF($C$5:$C$58,O76,$Q$5:$Q$58)</f>
        <v>0</v>
      </c>
      <c r="P77" s="247">
        <f t="shared" si="28"/>
        <v>0</v>
      </c>
      <c r="Q77" s="247">
        <f t="shared" si="28"/>
        <v>0</v>
      </c>
      <c r="R77" s="247">
        <f t="shared" si="28"/>
        <v>0</v>
      </c>
      <c r="S77" s="247">
        <f t="shared" si="28"/>
        <v>0</v>
      </c>
      <c r="T77" s="247">
        <f t="shared" si="28"/>
        <v>0</v>
      </c>
      <c r="U77" s="248">
        <f t="shared" si="28"/>
        <v>0</v>
      </c>
    </row>
    <row r="78" spans="1:22" ht="15" customHeight="1" x14ac:dyDescent="0.2">
      <c r="C78" s="734" t="s">
        <v>67</v>
      </c>
      <c r="D78" s="735"/>
      <c r="E78" s="163">
        <f t="shared" ref="E78:L78" si="29">SUMIF($C$5:$C$58,E76,$J$5:$J$58)</f>
        <v>0</v>
      </c>
      <c r="F78" s="162">
        <f t="shared" si="29"/>
        <v>0</v>
      </c>
      <c r="G78" s="162">
        <f t="shared" si="29"/>
        <v>0</v>
      </c>
      <c r="H78" s="162">
        <f t="shared" si="29"/>
        <v>0</v>
      </c>
      <c r="I78" s="162">
        <f t="shared" si="29"/>
        <v>0</v>
      </c>
      <c r="J78" s="162">
        <f t="shared" si="29"/>
        <v>0</v>
      </c>
      <c r="K78" s="162">
        <f t="shared" si="29"/>
        <v>0</v>
      </c>
      <c r="L78" s="164">
        <f t="shared" si="29"/>
        <v>0</v>
      </c>
      <c r="N78" s="163">
        <f>SUMIF($C$5:$C$58,N76,$R$5:$R$58)</f>
        <v>0</v>
      </c>
      <c r="O78" s="162">
        <f t="shared" ref="O78:U78" si="30">SUMIF($C$5:$C$58,O76,$R$5:$R$58)</f>
        <v>0</v>
      </c>
      <c r="P78" s="162">
        <f t="shared" si="30"/>
        <v>0</v>
      </c>
      <c r="Q78" s="162">
        <f t="shared" si="30"/>
        <v>0</v>
      </c>
      <c r="R78" s="162">
        <f t="shared" si="30"/>
        <v>0</v>
      </c>
      <c r="S78" s="162">
        <f t="shared" si="30"/>
        <v>0</v>
      </c>
      <c r="T78" s="162">
        <f t="shared" si="30"/>
        <v>0</v>
      </c>
      <c r="U78" s="164">
        <f t="shared" si="30"/>
        <v>0</v>
      </c>
    </row>
    <row r="79" spans="1:22" ht="15" customHeight="1" x14ac:dyDescent="0.2">
      <c r="C79" s="734" t="s">
        <v>66</v>
      </c>
      <c r="D79" s="735"/>
      <c r="E79" s="163">
        <f t="shared" ref="E79:L79" si="31">SUMIF($C$5:$C$58,E76,$K$5:$K$58)</f>
        <v>0</v>
      </c>
      <c r="F79" s="162">
        <f t="shared" si="31"/>
        <v>0</v>
      </c>
      <c r="G79" s="162">
        <f t="shared" si="31"/>
        <v>0</v>
      </c>
      <c r="H79" s="162">
        <f t="shared" si="31"/>
        <v>0</v>
      </c>
      <c r="I79" s="162">
        <f t="shared" si="31"/>
        <v>0</v>
      </c>
      <c r="J79" s="162">
        <f t="shared" si="31"/>
        <v>0</v>
      </c>
      <c r="K79" s="162">
        <f t="shared" si="31"/>
        <v>0</v>
      </c>
      <c r="L79" s="164">
        <f t="shared" si="31"/>
        <v>0</v>
      </c>
      <c r="N79" s="163">
        <f>SUMIF($C$5:$C$58,N76,$S$5:$S$58)</f>
        <v>0</v>
      </c>
      <c r="O79" s="162">
        <f t="shared" ref="O79:U79" si="32">SUMIF($C$5:$C$58,O76,$S$5:$S$58)</f>
        <v>0</v>
      </c>
      <c r="P79" s="162">
        <f t="shared" si="32"/>
        <v>0</v>
      </c>
      <c r="Q79" s="162">
        <f t="shared" si="32"/>
        <v>0</v>
      </c>
      <c r="R79" s="162">
        <f t="shared" si="32"/>
        <v>0</v>
      </c>
      <c r="S79" s="162">
        <f t="shared" si="32"/>
        <v>0</v>
      </c>
      <c r="T79" s="162">
        <f t="shared" si="32"/>
        <v>0</v>
      </c>
      <c r="U79" s="164">
        <f t="shared" si="32"/>
        <v>0</v>
      </c>
    </row>
    <row r="80" spans="1:22" ht="15" customHeight="1" x14ac:dyDescent="0.2">
      <c r="C80" s="751" t="s">
        <v>65</v>
      </c>
      <c r="D80" s="752"/>
      <c r="E80" s="167">
        <f t="shared" ref="E80:L80" si="33">SUMIF($C$64:$C$71,E76,$M$64:$M$71)</f>
        <v>0</v>
      </c>
      <c r="F80" s="166">
        <f t="shared" si="33"/>
        <v>0</v>
      </c>
      <c r="G80" s="166">
        <f t="shared" si="33"/>
        <v>0</v>
      </c>
      <c r="H80" s="166">
        <f t="shared" si="33"/>
        <v>0</v>
      </c>
      <c r="I80" s="166">
        <f t="shared" si="33"/>
        <v>0</v>
      </c>
      <c r="J80" s="166">
        <f t="shared" si="33"/>
        <v>0</v>
      </c>
      <c r="K80" s="166">
        <f t="shared" si="33"/>
        <v>0</v>
      </c>
      <c r="L80" s="168">
        <f t="shared" si="33"/>
        <v>0</v>
      </c>
      <c r="N80" s="167">
        <f>SUMIF($C$64:$C$71,N76,$U$64:$U$71)</f>
        <v>0</v>
      </c>
      <c r="O80" s="166">
        <f t="shared" ref="O80:U80" si="34">SUMIF($C$64:$C$71,O76,$U$64:$U$71)</f>
        <v>0</v>
      </c>
      <c r="P80" s="166">
        <f t="shared" si="34"/>
        <v>0</v>
      </c>
      <c r="Q80" s="166">
        <f t="shared" si="34"/>
        <v>0</v>
      </c>
      <c r="R80" s="166">
        <f t="shared" si="34"/>
        <v>0</v>
      </c>
      <c r="S80" s="166">
        <f t="shared" si="34"/>
        <v>0</v>
      </c>
      <c r="T80" s="166">
        <f t="shared" si="34"/>
        <v>0</v>
      </c>
      <c r="U80" s="168">
        <f t="shared" si="34"/>
        <v>0</v>
      </c>
    </row>
    <row r="81" spans="1:32" x14ac:dyDescent="0.2">
      <c r="C81" s="753" t="s">
        <v>73</v>
      </c>
      <c r="D81" s="754"/>
      <c r="E81" s="239">
        <f>SUM(E77:E80)</f>
        <v>0</v>
      </c>
      <c r="F81" s="240">
        <f t="shared" ref="F81:L81" si="35">SUM(F77:F80)</f>
        <v>0</v>
      </c>
      <c r="G81" s="240">
        <f t="shared" si="35"/>
        <v>0</v>
      </c>
      <c r="H81" s="240">
        <f t="shared" si="35"/>
        <v>0</v>
      </c>
      <c r="I81" s="240">
        <f t="shared" si="35"/>
        <v>0</v>
      </c>
      <c r="J81" s="240">
        <f t="shared" si="35"/>
        <v>0</v>
      </c>
      <c r="K81" s="240">
        <f t="shared" si="35"/>
        <v>0</v>
      </c>
      <c r="L81" s="241">
        <f t="shared" si="35"/>
        <v>0</v>
      </c>
      <c r="N81" s="239">
        <f>SUM(N77:N80)</f>
        <v>0</v>
      </c>
      <c r="O81" s="240">
        <f t="shared" ref="O81" si="36">SUM(O77:O80)</f>
        <v>0</v>
      </c>
      <c r="P81" s="240">
        <f t="shared" ref="P81" si="37">SUM(P77:P80)</f>
        <v>0</v>
      </c>
      <c r="Q81" s="240">
        <f t="shared" ref="Q81" si="38">SUM(Q77:Q80)</f>
        <v>0</v>
      </c>
      <c r="R81" s="240">
        <f t="shared" ref="R81" si="39">SUM(R77:R80)</f>
        <v>0</v>
      </c>
      <c r="S81" s="240">
        <f t="shared" ref="S81" si="40">SUM(S77:S80)</f>
        <v>0</v>
      </c>
      <c r="T81" s="240">
        <f t="shared" ref="T81" si="41">SUM(T77:T80)</f>
        <v>0</v>
      </c>
      <c r="U81" s="241">
        <f t="shared" ref="U81" si="42">SUM(U77:U80)</f>
        <v>0</v>
      </c>
    </row>
    <row r="82" spans="1:32" x14ac:dyDescent="0.2">
      <c r="C82" s="755" t="s">
        <v>159</v>
      </c>
      <c r="D82" s="756"/>
      <c r="E82" s="249">
        <f>SUMIF($C$5:$C$58,N76,$M$5:$M$58)+SUMIF($C$64:$C$71,N76,$M$64:$M$71)</f>
        <v>0</v>
      </c>
      <c r="F82" s="249">
        <f t="shared" ref="F82:L82" si="43">SUMIF($C$5:$C$58,O76,$M$5:$M$58)+SUMIF($C$64:$C$71,O76,$M$64:$M$71)</f>
        <v>0</v>
      </c>
      <c r="G82" s="249">
        <f t="shared" si="43"/>
        <v>0</v>
      </c>
      <c r="H82" s="249">
        <f t="shared" si="43"/>
        <v>0</v>
      </c>
      <c r="I82" s="249">
        <f t="shared" si="43"/>
        <v>0</v>
      </c>
      <c r="J82" s="249">
        <f t="shared" si="43"/>
        <v>0</v>
      </c>
      <c r="K82" s="249">
        <f t="shared" si="43"/>
        <v>0</v>
      </c>
      <c r="L82" s="250">
        <f t="shared" si="43"/>
        <v>0</v>
      </c>
      <c r="N82" s="239">
        <f>SUMIF($C$5:$C$58,N76,$U$5:$U$58)+SUMIF($C$64:$C$71,N76,$U$64:$U$71)</f>
        <v>0</v>
      </c>
      <c r="O82" s="240">
        <f t="shared" ref="O82:U82" si="44">SUMIF($C$5:$C$58,O76,$U$5:$U$58)+SUMIF($C$64:$C$71,O76,$U$64:$U$71)</f>
        <v>0</v>
      </c>
      <c r="P82" s="240">
        <f t="shared" si="44"/>
        <v>0</v>
      </c>
      <c r="Q82" s="240">
        <f t="shared" si="44"/>
        <v>0</v>
      </c>
      <c r="R82" s="240">
        <f t="shared" si="44"/>
        <v>0</v>
      </c>
      <c r="S82" s="240">
        <f t="shared" si="44"/>
        <v>0</v>
      </c>
      <c r="T82" s="240">
        <f t="shared" si="44"/>
        <v>0</v>
      </c>
      <c r="U82" s="241">
        <f t="shared" si="44"/>
        <v>0</v>
      </c>
    </row>
    <row r="85" spans="1:32" x14ac:dyDescent="0.2">
      <c r="A85" s="511"/>
      <c r="B85" s="512"/>
      <c r="C85" s="512"/>
      <c r="D85" s="512"/>
      <c r="E85" s="512"/>
      <c r="F85" s="513"/>
      <c r="G85" s="379"/>
      <c r="H85" s="380"/>
      <c r="I85" s="380"/>
      <c r="J85" s="176"/>
      <c r="K85" s="176"/>
      <c r="L85" s="176"/>
      <c r="M85" s="176"/>
      <c r="N85" s="296"/>
      <c r="O85" s="176"/>
      <c r="P85" s="345"/>
      <c r="Q85" s="379"/>
      <c r="R85" s="379"/>
      <c r="S85" s="379"/>
      <c r="T85" s="379"/>
      <c r="U85" s="379"/>
      <c r="V85" s="380"/>
      <c r="W85" s="380"/>
      <c r="X85" s="646"/>
      <c r="Y85" s="176"/>
      <c r="Z85" s="176"/>
      <c r="AA85" s="176"/>
      <c r="AB85" s="296"/>
      <c r="AC85" s="176"/>
      <c r="AD85" s="345"/>
      <c r="AE85" s="345"/>
    </row>
    <row r="86" spans="1:32" ht="18.75" customHeight="1" x14ac:dyDescent="0.2">
      <c r="A86" s="522"/>
      <c r="B86" s="523" t="s">
        <v>237</v>
      </c>
      <c r="C86" s="9" t="s">
        <v>242</v>
      </c>
      <c r="D86" s="18"/>
      <c r="E86" s="379"/>
      <c r="F86" s="515"/>
      <c r="G86" s="379"/>
      <c r="H86" s="380"/>
      <c r="I86" s="380"/>
      <c r="J86" s="176"/>
      <c r="K86" s="176"/>
      <c r="L86" s="176"/>
      <c r="M86" s="176"/>
      <c r="N86" s="296"/>
      <c r="O86" s="176"/>
      <c r="P86" s="345"/>
      <c r="Q86" s="379"/>
      <c r="R86" s="379"/>
      <c r="S86" s="379"/>
      <c r="T86" s="379"/>
      <c r="U86" s="379"/>
      <c r="V86" s="380"/>
      <c r="W86" s="380"/>
      <c r="X86" s="646"/>
      <c r="Y86" s="176"/>
      <c r="Z86" s="176"/>
      <c r="AA86" s="176"/>
      <c r="AB86" s="296"/>
      <c r="AC86" s="176"/>
      <c r="AD86" s="345"/>
      <c r="AE86" s="345"/>
    </row>
    <row r="87" spans="1:32" ht="18.75" customHeight="1" x14ac:dyDescent="0.2">
      <c r="A87" s="522"/>
      <c r="B87" s="523" t="s">
        <v>239</v>
      </c>
      <c r="C87" s="9" t="s">
        <v>242</v>
      </c>
      <c r="D87" s="379"/>
      <c r="E87" s="379"/>
      <c r="F87" s="515"/>
      <c r="G87" s="379"/>
      <c r="H87" s="380"/>
      <c r="I87" s="380"/>
      <c r="J87" s="176"/>
      <c r="K87" s="176"/>
      <c r="L87" s="176"/>
      <c r="M87" s="176"/>
      <c r="N87" s="296"/>
      <c r="O87" s="176"/>
      <c r="P87" s="345"/>
      <c r="Q87" s="379"/>
      <c r="R87" s="379"/>
      <c r="S87" s="379"/>
      <c r="T87" s="379"/>
      <c r="U87" s="379"/>
      <c r="V87" s="380"/>
      <c r="W87" s="380"/>
      <c r="X87" s="646"/>
      <c r="Y87" s="176"/>
      <c r="Z87" s="176"/>
      <c r="AA87" s="176"/>
      <c r="AB87" s="296"/>
      <c r="AC87" s="176"/>
      <c r="AD87" s="345"/>
      <c r="AE87" s="345"/>
    </row>
    <row r="88" spans="1:32" ht="18.75" customHeight="1" x14ac:dyDescent="0.2">
      <c r="A88" s="522"/>
      <c r="B88" s="523" t="s">
        <v>240</v>
      </c>
      <c r="C88" s="9" t="s">
        <v>242</v>
      </c>
      <c r="D88" s="381"/>
      <c r="E88" s="381"/>
      <c r="F88" s="516"/>
      <c r="G88" s="391"/>
      <c r="H88" s="382"/>
      <c r="I88" s="382"/>
      <c r="J88" s="296"/>
      <c r="K88" s="296"/>
      <c r="L88" s="296"/>
      <c r="M88" s="296"/>
      <c r="N88" s="296"/>
      <c r="O88" s="296"/>
      <c r="P88" s="345"/>
      <c r="Q88" s="381"/>
      <c r="R88" s="381"/>
      <c r="S88" s="381"/>
      <c r="T88" s="381"/>
      <c r="U88" s="381"/>
      <c r="V88" s="382"/>
      <c r="W88" s="382"/>
      <c r="X88" s="647"/>
      <c r="Y88" s="296"/>
      <c r="Z88" s="296"/>
      <c r="AA88" s="296"/>
      <c r="AB88" s="296"/>
      <c r="AC88" s="296"/>
      <c r="AD88" s="345"/>
      <c r="AE88" s="345"/>
    </row>
    <row r="89" spans="1:32" ht="18.75" customHeight="1" x14ac:dyDescent="0.2">
      <c r="A89" s="522"/>
      <c r="B89" s="523" t="s">
        <v>241</v>
      </c>
      <c r="C89" s="18"/>
      <c r="D89" s="345"/>
      <c r="E89" s="521" t="s">
        <v>238</v>
      </c>
      <c r="F89" s="517"/>
      <c r="G89" s="345"/>
      <c r="H89" s="346"/>
      <c r="I89" s="346"/>
      <c r="J89" s="346"/>
      <c r="K89" s="346"/>
      <c r="L89" s="345"/>
      <c r="M89" s="393"/>
      <c r="N89" s="393"/>
      <c r="O89" s="392"/>
      <c r="P89" s="392"/>
      <c r="Q89" s="394"/>
      <c r="R89" s="394"/>
      <c r="S89" s="394"/>
      <c r="T89" s="394"/>
      <c r="U89" s="394"/>
      <c r="V89" s="395"/>
      <c r="W89" s="395"/>
      <c r="X89" s="648"/>
      <c r="Y89" s="395"/>
      <c r="Z89" s="394"/>
      <c r="AA89" s="394"/>
      <c r="AB89" s="396"/>
      <c r="AC89" s="394"/>
      <c r="AD89" s="394"/>
      <c r="AE89" s="392"/>
      <c r="AF89" s="392"/>
    </row>
    <row r="90" spans="1:32" x14ac:dyDescent="0.2">
      <c r="A90" s="514"/>
      <c r="B90" s="18"/>
      <c r="C90" s="18"/>
      <c r="D90" s="345"/>
      <c r="E90" s="345"/>
      <c r="F90" s="517"/>
      <c r="G90" s="345"/>
      <c r="H90" s="346"/>
      <c r="I90" s="346"/>
      <c r="J90" s="346"/>
      <c r="K90" s="346"/>
      <c r="L90" s="345"/>
      <c r="M90" s="393"/>
      <c r="N90" s="393"/>
      <c r="O90" s="392"/>
      <c r="P90" s="392"/>
      <c r="Q90" s="394"/>
      <c r="R90" s="394"/>
      <c r="S90" s="394"/>
      <c r="T90" s="394"/>
      <c r="U90" s="394"/>
      <c r="V90" s="395"/>
      <c r="W90" s="395"/>
      <c r="X90" s="648"/>
      <c r="Y90" s="395"/>
      <c r="Z90" s="394"/>
      <c r="AA90" s="394"/>
      <c r="AB90" s="396"/>
      <c r="AC90" s="394"/>
      <c r="AD90" s="394"/>
      <c r="AE90" s="392"/>
      <c r="AF90" s="392"/>
    </row>
    <row r="91" spans="1:32" x14ac:dyDescent="0.2">
      <c r="A91" s="514"/>
      <c r="B91" s="18"/>
      <c r="C91" s="18"/>
      <c r="D91" s="345"/>
      <c r="E91" s="345"/>
      <c r="F91" s="517"/>
      <c r="G91" s="345"/>
      <c r="H91" s="346"/>
      <c r="I91" s="346"/>
      <c r="J91" s="346"/>
      <c r="K91" s="346"/>
      <c r="L91" s="345"/>
      <c r="M91" s="393"/>
      <c r="N91" s="393"/>
      <c r="O91" s="392"/>
      <c r="P91" s="392"/>
      <c r="Q91" s="394"/>
      <c r="R91" s="394"/>
      <c r="S91" s="394"/>
      <c r="T91" s="394"/>
      <c r="U91" s="394"/>
      <c r="V91" s="395"/>
      <c r="W91" s="395"/>
      <c r="X91" s="648"/>
      <c r="Y91" s="395"/>
      <c r="Z91" s="394"/>
      <c r="AA91" s="394"/>
      <c r="AB91" s="396"/>
      <c r="AC91" s="394"/>
      <c r="AD91" s="394"/>
      <c r="AE91" s="392"/>
      <c r="AF91" s="392"/>
    </row>
    <row r="92" spans="1:32" x14ac:dyDescent="0.2">
      <c r="A92" s="514"/>
      <c r="B92" s="18"/>
      <c r="C92" s="18"/>
      <c r="D92" s="345"/>
      <c r="E92" s="345"/>
      <c r="F92" s="517"/>
      <c r="G92" s="345"/>
      <c r="H92" s="346"/>
      <c r="I92" s="346"/>
      <c r="J92" s="346"/>
      <c r="K92" s="346"/>
      <c r="L92" s="345"/>
      <c r="M92" s="393"/>
      <c r="N92" s="393"/>
      <c r="O92" s="392"/>
      <c r="P92" s="392"/>
      <c r="Q92" s="394"/>
      <c r="R92" s="394"/>
      <c r="S92" s="394"/>
      <c r="T92" s="394"/>
      <c r="U92" s="394"/>
      <c r="V92" s="395"/>
      <c r="W92" s="395"/>
      <c r="X92" s="648"/>
      <c r="Y92" s="395"/>
      <c r="Z92" s="394"/>
      <c r="AA92" s="394"/>
      <c r="AB92" s="396"/>
      <c r="AC92" s="394"/>
      <c r="AD92" s="394"/>
      <c r="AE92" s="392"/>
      <c r="AF92" s="392"/>
    </row>
    <row r="93" spans="1:32" x14ac:dyDescent="0.2">
      <c r="A93" s="514"/>
      <c r="B93" s="18"/>
      <c r="C93" s="18"/>
      <c r="D93" s="345"/>
      <c r="E93" s="345"/>
      <c r="F93" s="517"/>
      <c r="G93" s="345"/>
      <c r="H93" s="346"/>
      <c r="I93" s="346"/>
      <c r="J93" s="346"/>
      <c r="K93" s="346"/>
      <c r="L93" s="345"/>
      <c r="M93" s="393"/>
      <c r="N93" s="393"/>
      <c r="O93" s="392"/>
      <c r="P93" s="392"/>
      <c r="Q93" s="394"/>
      <c r="R93" s="394"/>
      <c r="S93" s="394"/>
      <c r="T93" s="394"/>
      <c r="U93" s="394"/>
      <c r="V93" s="395"/>
      <c r="W93" s="395"/>
      <c r="X93" s="648"/>
      <c r="Y93" s="395"/>
      <c r="Z93" s="394"/>
      <c r="AA93" s="394"/>
      <c r="AB93" s="396"/>
      <c r="AC93" s="394"/>
      <c r="AD93" s="394"/>
      <c r="AE93" s="392"/>
      <c r="AF93" s="392"/>
    </row>
    <row r="94" spans="1:32" x14ac:dyDescent="0.2">
      <c r="A94" s="514"/>
      <c r="B94" s="18"/>
      <c r="C94" s="18"/>
      <c r="D94" s="345"/>
      <c r="E94" s="345"/>
      <c r="F94" s="517"/>
      <c r="G94" s="345"/>
      <c r="H94" s="346"/>
      <c r="I94" s="346"/>
      <c r="J94" s="346"/>
      <c r="K94" s="346"/>
      <c r="L94" s="345"/>
      <c r="M94" s="393"/>
      <c r="N94" s="393"/>
      <c r="O94" s="392"/>
      <c r="P94" s="392"/>
      <c r="Q94" s="394"/>
      <c r="R94" s="394"/>
      <c r="S94" s="394"/>
      <c r="T94" s="394"/>
      <c r="U94" s="394"/>
      <c r="V94" s="395"/>
      <c r="W94" s="395"/>
      <c r="X94" s="648"/>
      <c r="Y94" s="395"/>
      <c r="Z94" s="394"/>
      <c r="AA94" s="394"/>
      <c r="AB94" s="396"/>
      <c r="AC94" s="394"/>
      <c r="AD94" s="394"/>
      <c r="AE94" s="392"/>
      <c r="AF94" s="392"/>
    </row>
    <row r="95" spans="1:32" x14ac:dyDescent="0.2">
      <c r="A95" s="518"/>
      <c r="B95" s="519"/>
      <c r="C95" s="519"/>
      <c r="D95" s="519"/>
      <c r="E95" s="519"/>
      <c r="F95" s="520"/>
      <c r="G95" s="345"/>
      <c r="H95" s="346"/>
      <c r="I95" s="346"/>
      <c r="J95" s="346"/>
      <c r="K95" s="346"/>
      <c r="L95" s="345"/>
      <c r="M95" s="393"/>
      <c r="N95" s="393"/>
      <c r="O95" s="392"/>
      <c r="P95" s="392"/>
      <c r="Q95" s="394"/>
      <c r="R95" s="394"/>
      <c r="S95" s="397"/>
      <c r="T95" s="397"/>
      <c r="U95" s="397"/>
      <c r="V95" s="398"/>
      <c r="W95" s="398"/>
      <c r="X95" s="647"/>
      <c r="Y95" s="399"/>
      <c r="Z95" s="399"/>
      <c r="AA95" s="394"/>
      <c r="AB95" s="396"/>
      <c r="AC95" s="394"/>
      <c r="AD95" s="394"/>
      <c r="AE95" s="392"/>
      <c r="AF95" s="392"/>
    </row>
    <row r="98" spans="1:5" x14ac:dyDescent="0.2">
      <c r="A98" s="72" t="s">
        <v>2</v>
      </c>
      <c r="B98" s="74"/>
      <c r="C98" s="508">
        <f>Identification!E30</f>
        <v>0</v>
      </c>
    </row>
    <row r="99" spans="1:5" x14ac:dyDescent="0.2">
      <c r="A99" s="740" t="s">
        <v>3</v>
      </c>
      <c r="B99" s="741"/>
      <c r="C99" s="509">
        <f>Identification!E31</f>
        <v>0</v>
      </c>
    </row>
    <row r="100" spans="1:5" ht="5.25" customHeight="1" x14ac:dyDescent="0.2">
      <c r="A100" s="71"/>
      <c r="B100" s="71"/>
      <c r="C100" s="155"/>
      <c r="D100" s="155"/>
      <c r="E100" s="155"/>
    </row>
  </sheetData>
  <sheetProtection password="B19B" sheet="1" sort="0" autoFilter="0"/>
  <mergeCells count="23">
    <mergeCell ref="D70:G70"/>
    <mergeCell ref="D71:G71"/>
    <mergeCell ref="A1:V1"/>
    <mergeCell ref="N3:U3"/>
    <mergeCell ref="E3:M3"/>
    <mergeCell ref="D68:G68"/>
    <mergeCell ref="D69:G69"/>
    <mergeCell ref="D63:G63"/>
    <mergeCell ref="D64:G64"/>
    <mergeCell ref="D65:G65"/>
    <mergeCell ref="D66:G66"/>
    <mergeCell ref="D67:G67"/>
    <mergeCell ref="A99:B99"/>
    <mergeCell ref="N75:U75"/>
    <mergeCell ref="C75:D75"/>
    <mergeCell ref="C76:D76"/>
    <mergeCell ref="C77:D77"/>
    <mergeCell ref="C78:D78"/>
    <mergeCell ref="C79:D79"/>
    <mergeCell ref="C80:D80"/>
    <mergeCell ref="C81:D81"/>
    <mergeCell ref="C82:D82"/>
    <mergeCell ref="E75:L75"/>
  </mergeCells>
  <dataValidations count="5">
    <dataValidation type="list" allowBlank="1" showInputMessage="1" showErrorMessage="1" sqref="C5:C58">
      <formula1>RefStructures</formula1>
    </dataValidation>
    <dataValidation type="list" allowBlank="1" showInputMessage="1" showErrorMessage="1" sqref="D5:D58">
      <formula1>INDIRECT(X5)</formula1>
    </dataValidation>
    <dataValidation type="list" allowBlank="1" showInputMessage="1" showErrorMessage="1" sqref="B64:B71 B5:B58">
      <formula1>Ref_actions_animation</formula1>
    </dataValidation>
    <dataValidation type="list" allowBlank="1" showInputMessage="1" showErrorMessage="1" sqref="D64:G71">
      <formula1>RefPresta</formula1>
    </dataValidation>
    <dataValidation type="list" allowBlank="1" showInputMessage="1" showErrorMessage="1" sqref="A64:A71 A5:A58">
      <formula1>"2024,2025"</formula1>
    </dataValidation>
  </dataValidations>
  <printOptions horizontalCentered="1" verticalCentered="1"/>
  <pageMargins left="0.39370078740157483" right="0.23622047244094491" top="0.39370078740157483" bottom="0.74803149606299213" header="0.31496062992125984" footer="0.31496062992125984"/>
  <pageSetup paperSize="9" scale="54" orientation="landscape" r:id="rId1"/>
  <headerFooter>
    <oddFooter>&amp;RPage 4/7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'Intervenants et coûts-j'!$B$5</xm:f>
          </x14:formula1>
          <xm:sqref>C64:C71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G59"/>
  <sheetViews>
    <sheetView zoomScaleNormal="100" zoomScalePageLayoutView="70" workbookViewId="0">
      <selection activeCell="B5" sqref="B5:B14"/>
    </sheetView>
  </sheetViews>
  <sheetFormatPr baseColWidth="10" defaultColWidth="11.42578125" defaultRowHeight="12.75" outlineLevelCol="1" x14ac:dyDescent="0.2"/>
  <cols>
    <col min="1" max="1" width="47" style="345" customWidth="1"/>
    <col min="2" max="3" width="13.85546875" style="345" customWidth="1"/>
    <col min="4" max="4" width="14.85546875" style="345" customWidth="1"/>
    <col min="5" max="5" width="20.28515625" style="345" customWidth="1"/>
    <col min="6" max="6" width="19.28515625" style="345" customWidth="1"/>
    <col min="7" max="7" width="11.42578125" style="345" bestFit="1" customWidth="1"/>
    <col min="8" max="8" width="13.140625" style="346" customWidth="1"/>
    <col min="9" max="11" width="12.42578125" style="346" customWidth="1"/>
    <col min="12" max="13" width="12.42578125" style="345" customWidth="1"/>
    <col min="14" max="14" width="12.42578125" style="347" customWidth="1"/>
    <col min="15" max="15" width="12.42578125" style="345" customWidth="1"/>
    <col min="16" max="16" width="12.7109375" style="345" customWidth="1"/>
    <col min="17" max="18" width="13.85546875" style="345" hidden="1" customWidth="1" outlineLevel="1"/>
    <col min="19" max="19" width="20.28515625" style="345" hidden="1" customWidth="1" outlineLevel="1"/>
    <col min="20" max="20" width="19.28515625" style="345" hidden="1" customWidth="1" outlineLevel="1"/>
    <col min="21" max="21" width="11" style="345" hidden="1" customWidth="1" outlineLevel="1"/>
    <col min="22" max="22" width="13.140625" style="346" hidden="1" customWidth="1" outlineLevel="1"/>
    <col min="23" max="25" width="12.42578125" style="346" hidden="1" customWidth="1" outlineLevel="1"/>
    <col min="26" max="27" width="12.42578125" style="345" hidden="1" customWidth="1" outlineLevel="1"/>
    <col min="28" max="28" width="12.42578125" style="347" hidden="1" customWidth="1" outlineLevel="1"/>
    <col min="29" max="29" width="13.5703125" style="345" hidden="1" customWidth="1" outlineLevel="1"/>
    <col min="30" max="30" width="12.7109375" style="345" hidden="1" customWidth="1" outlineLevel="1"/>
    <col min="31" max="31" width="10.140625" style="345" customWidth="1" collapsed="1"/>
    <col min="32" max="32" width="12.28515625" style="620" customWidth="1"/>
    <col min="33" max="33" width="11.42578125" style="620"/>
    <col min="34" max="16384" width="11.42578125" style="9"/>
  </cols>
  <sheetData>
    <row r="1" spans="1:33" x14ac:dyDescent="0.2">
      <c r="A1" s="343" t="s">
        <v>244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619"/>
    </row>
    <row r="2" spans="1:33" x14ac:dyDescent="0.2">
      <c r="AF2" s="621"/>
    </row>
    <row r="3" spans="1:33" ht="13.5" thickBot="1" x14ac:dyDescent="0.25">
      <c r="A3" s="39" t="s">
        <v>110</v>
      </c>
      <c r="AF3" s="621"/>
    </row>
    <row r="4" spans="1:33" ht="51.75" thickBot="1" x14ac:dyDescent="0.25">
      <c r="A4" s="348" t="s">
        <v>82</v>
      </c>
      <c r="B4" s="321" t="s">
        <v>171</v>
      </c>
      <c r="C4" s="321" t="s">
        <v>201</v>
      </c>
      <c r="D4" s="321" t="s">
        <v>184</v>
      </c>
      <c r="E4" s="321" t="s">
        <v>172</v>
      </c>
      <c r="F4" s="321" t="s">
        <v>168</v>
      </c>
      <c r="G4" s="321" t="s">
        <v>169</v>
      </c>
      <c r="H4" s="321" t="s">
        <v>170</v>
      </c>
      <c r="I4" s="349" t="s">
        <v>46</v>
      </c>
      <c r="J4" s="350" t="s">
        <v>157</v>
      </c>
      <c r="K4" s="351" t="s">
        <v>144</v>
      </c>
      <c r="L4" s="321" t="s">
        <v>143</v>
      </c>
      <c r="M4" s="321" t="s">
        <v>152</v>
      </c>
      <c r="N4" s="321" t="s">
        <v>44</v>
      </c>
      <c r="O4" s="321" t="s">
        <v>85</v>
      </c>
      <c r="P4" s="322" t="s">
        <v>173</v>
      </c>
      <c r="Q4" s="321" t="s">
        <v>202</v>
      </c>
      <c r="R4" s="321" t="s">
        <v>203</v>
      </c>
      <c r="S4" s="321" t="s">
        <v>172</v>
      </c>
      <c r="T4" s="321" t="s">
        <v>168</v>
      </c>
      <c r="U4" s="321" t="s">
        <v>181</v>
      </c>
      <c r="V4" s="321" t="s">
        <v>170</v>
      </c>
      <c r="W4" s="349" t="s">
        <v>46</v>
      </c>
      <c r="X4" s="350" t="s">
        <v>157</v>
      </c>
      <c r="Y4" s="351" t="s">
        <v>147</v>
      </c>
      <c r="Z4" s="321" t="s">
        <v>148</v>
      </c>
      <c r="AA4" s="321" t="s">
        <v>154</v>
      </c>
      <c r="AB4" s="321" t="s">
        <v>182</v>
      </c>
      <c r="AC4" s="321" t="s">
        <v>85</v>
      </c>
      <c r="AD4" s="322" t="s">
        <v>183</v>
      </c>
    </row>
    <row r="5" spans="1:33" x14ac:dyDescent="0.2">
      <c r="A5" s="770" t="s">
        <v>179</v>
      </c>
      <c r="B5" s="773"/>
      <c r="C5" s="767"/>
      <c r="D5" s="776" t="s">
        <v>261</v>
      </c>
      <c r="E5" s="310"/>
      <c r="F5" s="311"/>
      <c r="G5" s="312"/>
      <c r="H5" s="312"/>
      <c r="I5" s="352" t="str">
        <f>IF(F5="","",VLOOKUP(F5,'Intervenants et coûts-j'!$C$15:$F$45,3,FALSE))</f>
        <v/>
      </c>
      <c r="J5" s="353" t="str">
        <f>IF(F5="","",VLOOKUP(F5,'Intervenants et coûts-j'!$C$15:$F$45,4,FALSE))</f>
        <v/>
      </c>
      <c r="K5" s="353" t="str">
        <f>IF(G5="","",J5*G5)</f>
        <v/>
      </c>
      <c r="L5" s="353" t="str">
        <f>IF(E5="","",IF(VLOOKUP(E5,'Intervenants et coûts-j'!$B$4:$E$12,4,FALSE)="Oui",K5*0.15,0))</f>
        <v/>
      </c>
      <c r="M5" s="353" t="str">
        <f>IF(H5="","",J5*H5*0.1)</f>
        <v/>
      </c>
      <c r="N5" s="354">
        <f>IF(J5="",0,M5+L5+K5)</f>
        <v>0</v>
      </c>
      <c r="O5" s="782">
        <f>(B5+C5)*500</f>
        <v>0</v>
      </c>
      <c r="P5" s="761">
        <f>MIN(O5,SUM(N5:N14))</f>
        <v>0</v>
      </c>
      <c r="Q5" s="789"/>
      <c r="R5" s="789"/>
      <c r="S5" s="355" t="str">
        <f>IF(E5="","",E5)</f>
        <v/>
      </c>
      <c r="T5" s="356" t="str">
        <f t="shared" ref="T5:T34" si="0">IF(F5="","",F5)</f>
        <v/>
      </c>
      <c r="U5" s="337"/>
      <c r="V5" s="337"/>
      <c r="W5" s="352" t="str">
        <f>IF(T5="","",VLOOKUP(T5,'Intervenants et coûts-j'!$C$15:$F$45,3,FALSE))</f>
        <v/>
      </c>
      <c r="X5" s="353" t="str">
        <f>IF(T5="","",VLOOKUP(T5,'Intervenants et coûts-j'!$C$15:$F$45,4,FALSE))</f>
        <v/>
      </c>
      <c r="Y5" s="353" t="str">
        <f>IF(U5="","",X5*U5)</f>
        <v/>
      </c>
      <c r="Z5" s="353" t="str">
        <f>IF(U5="","",IF(VLOOKUP(S5,'Intervenants et coûts-j'!$B$4:$E$12,4,FALSE)="Oui",Y5*0.15,0))</f>
        <v/>
      </c>
      <c r="AA5" s="353" t="str">
        <f>IF(V5="","",X5*V5*0.1)</f>
        <v/>
      </c>
      <c r="AB5" s="354">
        <f>IF(U5="",0,AA5+Z5+Y5)</f>
        <v>0</v>
      </c>
      <c r="AC5" s="782">
        <f>(Q5+R5)*500</f>
        <v>0</v>
      </c>
      <c r="AD5" s="761">
        <f>MIN(AC5,SUM(AB5:AB14))</f>
        <v>0</v>
      </c>
      <c r="AF5" s="255" t="e">
        <f>"ListeIntervenants"&amp;VLOOKUP(E5,'Intervenants et coûts-j'!$B$5:$C$12,2,FALSE)</f>
        <v>#N/A</v>
      </c>
      <c r="AG5" s="255">
        <f>IF(SUM($N$5:$N$14)=0,0,(N5*$P$5/SUM($N$5:$N$14)))</f>
        <v>0</v>
      </c>
    </row>
    <row r="6" spans="1:33" ht="15" customHeight="1" x14ac:dyDescent="0.2">
      <c r="A6" s="771"/>
      <c r="B6" s="774"/>
      <c r="C6" s="768"/>
      <c r="D6" s="777"/>
      <c r="E6" s="299"/>
      <c r="F6" s="211"/>
      <c r="G6" s="305"/>
      <c r="H6" s="305"/>
      <c r="I6" s="357" t="str">
        <f>IF(F6="","",VLOOKUP(F6,'Intervenants et coûts-j'!$C$15:$F$45,3,FALSE))</f>
        <v/>
      </c>
      <c r="J6" s="358" t="str">
        <f>IF(F6="","",VLOOKUP(F6,'Intervenants et coûts-j'!$C$15:$F$45,4,FALSE))</f>
        <v/>
      </c>
      <c r="K6" s="358" t="str">
        <f t="shared" ref="K6:K11" si="1">IF(G6="","",J6*G6)</f>
        <v/>
      </c>
      <c r="L6" s="358" t="str">
        <f>IF(E6="","",IF(VLOOKUP(E6,'Intervenants et coûts-j'!$B$4:$E$12,4,FALSE)="Oui",K6*0.15,0))</f>
        <v/>
      </c>
      <c r="M6" s="358" t="str">
        <f t="shared" ref="M6:M11" si="2">IF(H6="","",J6*H6*0.1)</f>
        <v/>
      </c>
      <c r="N6" s="359">
        <f t="shared" ref="N6:N11" si="3">IF(J6="",0,M6+L6+K6)</f>
        <v>0</v>
      </c>
      <c r="O6" s="783"/>
      <c r="P6" s="762"/>
      <c r="Q6" s="790"/>
      <c r="R6" s="790"/>
      <c r="S6" s="360" t="str">
        <f t="shared" ref="S6:S34" si="4">IF(E6="","",E6)</f>
        <v/>
      </c>
      <c r="T6" s="361" t="str">
        <f t="shared" si="0"/>
        <v/>
      </c>
      <c r="U6" s="338"/>
      <c r="V6" s="338"/>
      <c r="W6" s="357" t="str">
        <f>IF(T6="","",VLOOKUP(T6,'Intervenants et coûts-j'!$C$15:$F$45,3,FALSE))</f>
        <v/>
      </c>
      <c r="X6" s="358" t="str">
        <f>IF(T6="","",VLOOKUP(T6,'Intervenants et coûts-j'!$C$15:$F$45,4,FALSE))</f>
        <v/>
      </c>
      <c r="Y6" s="358" t="str">
        <f t="shared" ref="Y6:Y11" si="5">IF(U6="","",X6*U6)</f>
        <v/>
      </c>
      <c r="Z6" s="358" t="str">
        <f>IF(U6="","",IF(VLOOKUP(S6,'Intervenants et coûts-j'!$B$4:$E$12,4,FALSE)="Oui",Y6*0.15,0))</f>
        <v/>
      </c>
      <c r="AA6" s="358" t="str">
        <f t="shared" ref="AA6:AA11" si="6">IF(V6="","",X6*V6*0.1)</f>
        <v/>
      </c>
      <c r="AB6" s="359">
        <f t="shared" ref="AB6:AB34" si="7">IF(U6="",0,AA6+Z6+Y6)</f>
        <v>0</v>
      </c>
      <c r="AC6" s="783"/>
      <c r="AD6" s="762"/>
      <c r="AF6" s="255" t="e">
        <f>"ListeIntervenants"&amp;VLOOKUP(E6,'Intervenants et coûts-j'!$B$5:$C$12,2,FALSE)</f>
        <v>#N/A</v>
      </c>
      <c r="AG6" s="255">
        <f t="shared" ref="AG6:AG14" si="8">IF(SUM($N$5:$N$14)=0,0,(N6*$P$5/SUM($N$5:$N$14)))</f>
        <v>0</v>
      </c>
    </row>
    <row r="7" spans="1:33" ht="15" customHeight="1" x14ac:dyDescent="0.2">
      <c r="A7" s="771"/>
      <c r="B7" s="774"/>
      <c r="C7" s="768"/>
      <c r="D7" s="777"/>
      <c r="E7" s="299"/>
      <c r="F7" s="211"/>
      <c r="G7" s="305"/>
      <c r="H7" s="305"/>
      <c r="I7" s="357" t="str">
        <f>IF(F7="","",VLOOKUP(F7,'Intervenants et coûts-j'!$C$15:$F$45,3,FALSE))</f>
        <v/>
      </c>
      <c r="J7" s="358" t="str">
        <f>IF(F7="","",VLOOKUP(F7,'Intervenants et coûts-j'!$C$15:$F$45,4,FALSE))</f>
        <v/>
      </c>
      <c r="K7" s="358" t="str">
        <f t="shared" si="1"/>
        <v/>
      </c>
      <c r="L7" s="358" t="str">
        <f>IF(E7="","",IF(VLOOKUP(E7,'Intervenants et coûts-j'!$B$4:$E$12,4,FALSE)="Oui",K7*0.15,0))</f>
        <v/>
      </c>
      <c r="M7" s="358" t="str">
        <f t="shared" si="2"/>
        <v/>
      </c>
      <c r="N7" s="359">
        <f t="shared" si="3"/>
        <v>0</v>
      </c>
      <c r="O7" s="783"/>
      <c r="P7" s="762"/>
      <c r="Q7" s="790"/>
      <c r="R7" s="790"/>
      <c r="S7" s="360" t="str">
        <f t="shared" si="4"/>
        <v/>
      </c>
      <c r="T7" s="361" t="str">
        <f t="shared" si="0"/>
        <v/>
      </c>
      <c r="U7" s="338"/>
      <c r="V7" s="338"/>
      <c r="W7" s="357" t="str">
        <f>IF(T7="","",VLOOKUP(T7,'Intervenants et coûts-j'!$C$15:$F$45,3,FALSE))</f>
        <v/>
      </c>
      <c r="X7" s="358" t="str">
        <f>IF(T7="","",VLOOKUP(T7,'Intervenants et coûts-j'!$C$15:$F$45,4,FALSE))</f>
        <v/>
      </c>
      <c r="Y7" s="358" t="str">
        <f t="shared" si="5"/>
        <v/>
      </c>
      <c r="Z7" s="358" t="str">
        <f>IF(U7="","",IF(VLOOKUP(S7,'Intervenants et coûts-j'!$B$4:$E$12,4,FALSE)="Oui",Y7*0.15,0))</f>
        <v/>
      </c>
      <c r="AA7" s="358" t="str">
        <f t="shared" si="6"/>
        <v/>
      </c>
      <c r="AB7" s="359">
        <f t="shared" si="7"/>
        <v>0</v>
      </c>
      <c r="AC7" s="783"/>
      <c r="AD7" s="762"/>
      <c r="AF7" s="255" t="e">
        <f>"ListeIntervenants"&amp;VLOOKUP(E7,'Intervenants et coûts-j'!$B$5:$C$12,2,FALSE)</f>
        <v>#N/A</v>
      </c>
      <c r="AG7" s="255">
        <f t="shared" si="8"/>
        <v>0</v>
      </c>
    </row>
    <row r="8" spans="1:33" ht="15" customHeight="1" x14ac:dyDescent="0.2">
      <c r="A8" s="771"/>
      <c r="B8" s="774"/>
      <c r="C8" s="768"/>
      <c r="D8" s="777"/>
      <c r="E8" s="299"/>
      <c r="F8" s="211"/>
      <c r="G8" s="305"/>
      <c r="H8" s="305"/>
      <c r="I8" s="357" t="str">
        <f>IF(F8="","",VLOOKUP(F8,'Intervenants et coûts-j'!$C$15:$F$45,3,FALSE))</f>
        <v/>
      </c>
      <c r="J8" s="358" t="str">
        <f>IF(F8="","",VLOOKUP(F8,'Intervenants et coûts-j'!$C$15:$F$45,4,FALSE))</f>
        <v/>
      </c>
      <c r="K8" s="358" t="str">
        <f t="shared" si="1"/>
        <v/>
      </c>
      <c r="L8" s="358" t="str">
        <f>IF(E8="","",IF(VLOOKUP(E8,'Intervenants et coûts-j'!$B$4:$E$12,4,FALSE)="Oui",K8*0.15,0))</f>
        <v/>
      </c>
      <c r="M8" s="358" t="str">
        <f t="shared" si="2"/>
        <v/>
      </c>
      <c r="N8" s="359">
        <f t="shared" si="3"/>
        <v>0</v>
      </c>
      <c r="O8" s="783"/>
      <c r="P8" s="762"/>
      <c r="Q8" s="790"/>
      <c r="R8" s="790"/>
      <c r="S8" s="360" t="str">
        <f t="shared" si="4"/>
        <v/>
      </c>
      <c r="T8" s="361" t="str">
        <f t="shared" si="0"/>
        <v/>
      </c>
      <c r="U8" s="338"/>
      <c r="V8" s="338"/>
      <c r="W8" s="357" t="str">
        <f>IF(T8="","",VLOOKUP(T8,'Intervenants et coûts-j'!$C$15:$F$45,3,FALSE))</f>
        <v/>
      </c>
      <c r="X8" s="358" t="str">
        <f>IF(T8="","",VLOOKUP(T8,'Intervenants et coûts-j'!$C$15:$F$45,4,FALSE))</f>
        <v/>
      </c>
      <c r="Y8" s="358" t="str">
        <f t="shared" si="5"/>
        <v/>
      </c>
      <c r="Z8" s="358" t="str">
        <f>IF(U8="","",IF(VLOOKUP(S8,'Intervenants et coûts-j'!$B$4:$E$12,4,FALSE)="Oui",Y8*0.15,0))</f>
        <v/>
      </c>
      <c r="AA8" s="358" t="str">
        <f t="shared" si="6"/>
        <v/>
      </c>
      <c r="AB8" s="359">
        <f t="shared" si="7"/>
        <v>0</v>
      </c>
      <c r="AC8" s="783"/>
      <c r="AD8" s="762"/>
      <c r="AF8" s="255" t="e">
        <f>"ListeIntervenants"&amp;VLOOKUP(E8,'Intervenants et coûts-j'!$B$5:$C$12,2,FALSE)</f>
        <v>#N/A</v>
      </c>
      <c r="AG8" s="255">
        <f t="shared" si="8"/>
        <v>0</v>
      </c>
    </row>
    <row r="9" spans="1:33" ht="15" customHeight="1" x14ac:dyDescent="0.2">
      <c r="A9" s="771"/>
      <c r="B9" s="774"/>
      <c r="C9" s="768"/>
      <c r="D9" s="777"/>
      <c r="E9" s="299"/>
      <c r="F9" s="211"/>
      <c r="G9" s="305"/>
      <c r="H9" s="305"/>
      <c r="I9" s="357" t="str">
        <f>IF(F9="","",VLOOKUP(F9,'Intervenants et coûts-j'!$C$15:$F$45,3,FALSE))</f>
        <v/>
      </c>
      <c r="J9" s="358" t="str">
        <f>IF(F9="","",VLOOKUP(F9,'Intervenants et coûts-j'!$C$15:$F$45,4,FALSE))</f>
        <v/>
      </c>
      <c r="K9" s="358" t="str">
        <f t="shared" si="1"/>
        <v/>
      </c>
      <c r="L9" s="358" t="str">
        <f>IF(E9="","",IF(VLOOKUP(E9,'Intervenants et coûts-j'!$B$4:$E$12,4,FALSE)="Oui",K9*0.15,0))</f>
        <v/>
      </c>
      <c r="M9" s="358" t="str">
        <f t="shared" si="2"/>
        <v/>
      </c>
      <c r="N9" s="359">
        <f t="shared" si="3"/>
        <v>0</v>
      </c>
      <c r="O9" s="783"/>
      <c r="P9" s="762"/>
      <c r="Q9" s="790"/>
      <c r="R9" s="790"/>
      <c r="S9" s="360" t="str">
        <f t="shared" si="4"/>
        <v/>
      </c>
      <c r="T9" s="361" t="str">
        <f t="shared" si="0"/>
        <v/>
      </c>
      <c r="U9" s="338"/>
      <c r="V9" s="338"/>
      <c r="W9" s="357" t="str">
        <f>IF(T9="","",VLOOKUP(T9,'Intervenants et coûts-j'!$C$15:$F$45,3,FALSE))</f>
        <v/>
      </c>
      <c r="X9" s="358" t="str">
        <f>IF(T9="","",VLOOKUP(T9,'Intervenants et coûts-j'!$C$15:$F$45,4,FALSE))</f>
        <v/>
      </c>
      <c r="Y9" s="358" t="str">
        <f t="shared" si="5"/>
        <v/>
      </c>
      <c r="Z9" s="358" t="str">
        <f>IF(U9="","",IF(VLOOKUP(S9,'Intervenants et coûts-j'!$B$4:$E$12,4,FALSE)="Oui",Y9*0.15,0))</f>
        <v/>
      </c>
      <c r="AA9" s="358" t="str">
        <f t="shared" si="6"/>
        <v/>
      </c>
      <c r="AB9" s="359">
        <f t="shared" si="7"/>
        <v>0</v>
      </c>
      <c r="AC9" s="783"/>
      <c r="AD9" s="762"/>
      <c r="AF9" s="255" t="e">
        <f>"ListeIntervenants"&amp;VLOOKUP(E9,'Intervenants et coûts-j'!$B$5:$C$12,2,FALSE)</f>
        <v>#N/A</v>
      </c>
      <c r="AG9" s="255">
        <f t="shared" si="8"/>
        <v>0</v>
      </c>
    </row>
    <row r="10" spans="1:33" ht="15" customHeight="1" x14ac:dyDescent="0.2">
      <c r="A10" s="771"/>
      <c r="B10" s="774"/>
      <c r="C10" s="768"/>
      <c r="D10" s="778"/>
      <c r="E10" s="299"/>
      <c r="F10" s="211"/>
      <c r="G10" s="305"/>
      <c r="H10" s="305"/>
      <c r="I10" s="357" t="str">
        <f>IF(F10="","",VLOOKUP(F10,'Intervenants et coûts-j'!$C$15:$F$45,3,FALSE))</f>
        <v/>
      </c>
      <c r="J10" s="358" t="str">
        <f>IF(F10="","",VLOOKUP(F10,'Intervenants et coûts-j'!$C$15:$F$45,4,FALSE))</f>
        <v/>
      </c>
      <c r="K10" s="358" t="str">
        <f t="shared" si="1"/>
        <v/>
      </c>
      <c r="L10" s="358" t="str">
        <f>IF(E10="","",IF(VLOOKUP(E10,'Intervenants et coûts-j'!$B$4:$E$12,4,FALSE)="Oui",K10*0.15,0))</f>
        <v/>
      </c>
      <c r="M10" s="358" t="str">
        <f t="shared" si="2"/>
        <v/>
      </c>
      <c r="N10" s="359">
        <f t="shared" si="3"/>
        <v>0</v>
      </c>
      <c r="O10" s="783"/>
      <c r="P10" s="762"/>
      <c r="Q10" s="790"/>
      <c r="R10" s="790"/>
      <c r="S10" s="360" t="str">
        <f t="shared" si="4"/>
        <v/>
      </c>
      <c r="T10" s="361" t="str">
        <f t="shared" si="0"/>
        <v/>
      </c>
      <c r="U10" s="338"/>
      <c r="V10" s="338"/>
      <c r="W10" s="357" t="str">
        <f>IF(T10="","",VLOOKUP(T10,'Intervenants et coûts-j'!$C$15:$F$45,3,FALSE))</f>
        <v/>
      </c>
      <c r="X10" s="358" t="str">
        <f>IF(T10="","",VLOOKUP(T10,'Intervenants et coûts-j'!$C$15:$F$45,4,FALSE))</f>
        <v/>
      </c>
      <c r="Y10" s="358" t="str">
        <f t="shared" si="5"/>
        <v/>
      </c>
      <c r="Z10" s="358" t="str">
        <f>IF(U10="","",IF(VLOOKUP(S10,'Intervenants et coûts-j'!$B$4:$E$12,4,FALSE)="Oui",Y10*0.15,0))</f>
        <v/>
      </c>
      <c r="AA10" s="358" t="str">
        <f t="shared" si="6"/>
        <v/>
      </c>
      <c r="AB10" s="359">
        <f t="shared" si="7"/>
        <v>0</v>
      </c>
      <c r="AC10" s="783"/>
      <c r="AD10" s="762"/>
      <c r="AF10" s="255" t="e">
        <f>"ListeIntervenants"&amp;VLOOKUP(E10,'Intervenants et coûts-j'!$B$5:$C$12,2,FALSE)</f>
        <v>#N/A</v>
      </c>
      <c r="AG10" s="255">
        <f t="shared" si="8"/>
        <v>0</v>
      </c>
    </row>
    <row r="11" spans="1:33" ht="15" customHeight="1" x14ac:dyDescent="0.2">
      <c r="A11" s="771"/>
      <c r="B11" s="774"/>
      <c r="C11" s="768"/>
      <c r="D11" s="779"/>
      <c r="E11" s="300"/>
      <c r="F11" s="212"/>
      <c r="G11" s="306"/>
      <c r="H11" s="306"/>
      <c r="I11" s="362" t="str">
        <f>IF(F11="","",VLOOKUP(F11,'Intervenants et coûts-j'!$C$15:$F$45,3,FALSE))</f>
        <v/>
      </c>
      <c r="J11" s="363" t="str">
        <f>IF(F11="","",VLOOKUP(F11,'Intervenants et coûts-j'!$C$15:$F$45,4,FALSE))</f>
        <v/>
      </c>
      <c r="K11" s="363" t="str">
        <f t="shared" si="1"/>
        <v/>
      </c>
      <c r="L11" s="363" t="str">
        <f>IF(E11="","",IF(VLOOKUP(E11,'Intervenants et coûts-j'!$B$4:$E$12,4,FALSE)="Oui",K11*0.15,0))</f>
        <v/>
      </c>
      <c r="M11" s="363" t="str">
        <f t="shared" si="2"/>
        <v/>
      </c>
      <c r="N11" s="364">
        <f t="shared" si="3"/>
        <v>0</v>
      </c>
      <c r="O11" s="783"/>
      <c r="P11" s="762"/>
      <c r="Q11" s="790"/>
      <c r="R11" s="790"/>
      <c r="S11" s="365" t="str">
        <f t="shared" si="4"/>
        <v/>
      </c>
      <c r="T11" s="366" t="str">
        <f t="shared" si="0"/>
        <v/>
      </c>
      <c r="U11" s="339"/>
      <c r="V11" s="339"/>
      <c r="W11" s="362" t="str">
        <f>IF(T11="","",VLOOKUP(T11,'Intervenants et coûts-j'!$C$15:$F$45,3,FALSE))</f>
        <v/>
      </c>
      <c r="X11" s="363" t="str">
        <f>IF(T11="","",VLOOKUP(T11,'Intervenants et coûts-j'!$C$15:$F$45,4,FALSE))</f>
        <v/>
      </c>
      <c r="Y11" s="363" t="str">
        <f t="shared" si="5"/>
        <v/>
      </c>
      <c r="Z11" s="363" t="str">
        <f>IF(U11="","",IF(VLOOKUP(S11,'Intervenants et coûts-j'!$B$4:$E$12,4,FALSE)="Oui",Y11*0.15,0))</f>
        <v/>
      </c>
      <c r="AA11" s="363" t="str">
        <f t="shared" si="6"/>
        <v/>
      </c>
      <c r="AB11" s="364">
        <f t="shared" si="7"/>
        <v>0</v>
      </c>
      <c r="AC11" s="783"/>
      <c r="AD11" s="762"/>
      <c r="AF11" s="255" t="e">
        <f>"ListeIntervenants"&amp;VLOOKUP(E11,'Intervenants et coûts-j'!$B$5:$C$12,2,FALSE)</f>
        <v>#N/A</v>
      </c>
      <c r="AG11" s="255">
        <f t="shared" si="8"/>
        <v>0</v>
      </c>
    </row>
    <row r="12" spans="1:33" ht="15" customHeight="1" x14ac:dyDescent="0.2">
      <c r="A12" s="771"/>
      <c r="B12" s="774"/>
      <c r="C12" s="768"/>
      <c r="D12" s="764" t="s">
        <v>187</v>
      </c>
      <c r="E12" s="298"/>
      <c r="F12" s="301"/>
      <c r="G12" s="388"/>
      <c r="H12" s="307"/>
      <c r="I12" s="301"/>
      <c r="J12" s="301"/>
      <c r="K12" s="301"/>
      <c r="L12" s="301"/>
      <c r="M12" s="301"/>
      <c r="N12" s="303"/>
      <c r="O12" s="783"/>
      <c r="P12" s="762"/>
      <c r="Q12" s="790"/>
      <c r="R12" s="790"/>
      <c r="S12" s="367" t="str">
        <f t="shared" si="4"/>
        <v/>
      </c>
      <c r="T12" s="301" t="str">
        <f t="shared" si="0"/>
        <v/>
      </c>
      <c r="U12" s="385"/>
      <c r="V12" s="307"/>
      <c r="W12" s="301"/>
      <c r="X12" s="301"/>
      <c r="Y12" s="301"/>
      <c r="Z12" s="301" t="str">
        <f>IF(U12="","",IF(VLOOKUP(S12,'Intervenants et coûts-j'!$B$4:$E$12,4,FALSE)="Oui",Y12*0.15,0))</f>
        <v/>
      </c>
      <c r="AA12" s="301"/>
      <c r="AB12" s="340">
        <f t="shared" si="7"/>
        <v>0</v>
      </c>
      <c r="AC12" s="783"/>
      <c r="AD12" s="762"/>
      <c r="AF12" s="255" t="e">
        <f>"ListeIntervenants"&amp;VLOOKUP(E12,'Intervenants et coûts-j'!$B$5:$C$12,2,FALSE)</f>
        <v>#N/A</v>
      </c>
      <c r="AG12" s="255">
        <f t="shared" si="8"/>
        <v>0</v>
      </c>
    </row>
    <row r="13" spans="1:33" ht="15" customHeight="1" x14ac:dyDescent="0.2">
      <c r="A13" s="771"/>
      <c r="B13" s="774"/>
      <c r="C13" s="768"/>
      <c r="D13" s="765"/>
      <c r="E13" s="299"/>
      <c r="F13" s="302"/>
      <c r="G13" s="389"/>
      <c r="H13" s="308"/>
      <c r="I13" s="302"/>
      <c r="J13" s="302"/>
      <c r="K13" s="302"/>
      <c r="L13" s="302"/>
      <c r="M13" s="302"/>
      <c r="N13" s="304"/>
      <c r="O13" s="783"/>
      <c r="P13" s="762"/>
      <c r="Q13" s="790"/>
      <c r="R13" s="790"/>
      <c r="S13" s="360" t="str">
        <f t="shared" si="4"/>
        <v/>
      </c>
      <c r="T13" s="302" t="str">
        <f t="shared" si="0"/>
        <v/>
      </c>
      <c r="U13" s="386"/>
      <c r="V13" s="308"/>
      <c r="W13" s="302"/>
      <c r="X13" s="302"/>
      <c r="Y13" s="302"/>
      <c r="Z13" s="302" t="str">
        <f>IF(U13="","",IF(VLOOKUP(S13,'Intervenants et coûts-j'!$B$4:$E$12,4,FALSE)="Oui",Y13*0.15,0))</f>
        <v/>
      </c>
      <c r="AA13" s="302"/>
      <c r="AB13" s="341">
        <f t="shared" si="7"/>
        <v>0</v>
      </c>
      <c r="AC13" s="783"/>
      <c r="AD13" s="762"/>
      <c r="AF13" s="255" t="e">
        <f>"ListeIntervenants"&amp;VLOOKUP(E13,'Intervenants et coûts-j'!$B$5:$C$12,2,FALSE)</f>
        <v>#N/A</v>
      </c>
      <c r="AG13" s="255">
        <f t="shared" si="8"/>
        <v>0</v>
      </c>
    </row>
    <row r="14" spans="1:33" ht="15" customHeight="1" thickBot="1" x14ac:dyDescent="0.25">
      <c r="A14" s="772"/>
      <c r="B14" s="775"/>
      <c r="C14" s="769"/>
      <c r="D14" s="766"/>
      <c r="E14" s="314"/>
      <c r="F14" s="315"/>
      <c r="G14" s="390"/>
      <c r="H14" s="316"/>
      <c r="I14" s="315"/>
      <c r="J14" s="315"/>
      <c r="K14" s="315"/>
      <c r="L14" s="315"/>
      <c r="M14" s="315"/>
      <c r="N14" s="317"/>
      <c r="O14" s="784"/>
      <c r="P14" s="763"/>
      <c r="Q14" s="791"/>
      <c r="R14" s="791"/>
      <c r="S14" s="368" t="str">
        <f t="shared" si="4"/>
        <v/>
      </c>
      <c r="T14" s="315" t="str">
        <f t="shared" si="0"/>
        <v/>
      </c>
      <c r="U14" s="387"/>
      <c r="V14" s="316"/>
      <c r="W14" s="315"/>
      <c r="X14" s="315"/>
      <c r="Y14" s="315"/>
      <c r="Z14" s="315" t="str">
        <f>IF(U14="","",IF(VLOOKUP(S14,'Intervenants et coûts-j'!$B$4:$E$12,4,FALSE)="Oui",Y14*0.15,0))</f>
        <v/>
      </c>
      <c r="AA14" s="315"/>
      <c r="AB14" s="342">
        <f t="shared" si="7"/>
        <v>0</v>
      </c>
      <c r="AC14" s="784"/>
      <c r="AD14" s="763"/>
      <c r="AF14" s="255" t="e">
        <f>"ListeIntervenants"&amp;VLOOKUP(E14,'Intervenants et coûts-j'!$B$5:$C$12,2,FALSE)</f>
        <v>#N/A</v>
      </c>
      <c r="AG14" s="255">
        <f t="shared" si="8"/>
        <v>0</v>
      </c>
    </row>
    <row r="15" spans="1:33" x14ac:dyDescent="0.2">
      <c r="A15" s="770" t="s">
        <v>174</v>
      </c>
      <c r="B15" s="773"/>
      <c r="C15" s="767"/>
      <c r="D15" s="776" t="s">
        <v>261</v>
      </c>
      <c r="E15" s="310"/>
      <c r="F15" s="311"/>
      <c r="G15" s="312"/>
      <c r="H15" s="312"/>
      <c r="I15" s="352" t="str">
        <f>IF(F15="","",VLOOKUP(F15,'Intervenants et coûts-j'!$C$15:$F$45,3,FALSE))</f>
        <v/>
      </c>
      <c r="J15" s="353" t="str">
        <f>IF(F15="","",VLOOKUP(F15,'Intervenants et coûts-j'!$C$15:$F$45,4,FALSE))</f>
        <v/>
      </c>
      <c r="K15" s="353" t="str">
        <f>IF(G15="","",J15*G15)</f>
        <v/>
      </c>
      <c r="L15" s="353" t="str">
        <f>IF(E15="","",IF(VLOOKUP(E15,'Intervenants et coûts-j'!$B$4:$E$12,4,FALSE)="Oui",K15*0.15,0))</f>
        <v/>
      </c>
      <c r="M15" s="353" t="str">
        <f>IF(H15="","",J15*H15*0.1)</f>
        <v/>
      </c>
      <c r="N15" s="354">
        <f>IF(J15="",0,M15+L15+K15)</f>
        <v>0</v>
      </c>
      <c r="O15" s="782">
        <f>(B15+C15)*800</f>
        <v>0</v>
      </c>
      <c r="P15" s="761">
        <f>MIN(O15,SUM(N15:N24))</f>
        <v>0</v>
      </c>
      <c r="Q15" s="789"/>
      <c r="R15" s="789"/>
      <c r="S15" s="355" t="str">
        <f t="shared" si="4"/>
        <v/>
      </c>
      <c r="T15" s="356" t="str">
        <f t="shared" si="0"/>
        <v/>
      </c>
      <c r="U15" s="337"/>
      <c r="V15" s="337"/>
      <c r="W15" s="352" t="str">
        <f>IF(T15="","",VLOOKUP(T15,'Intervenants et coûts-j'!$C$15:$F$45,3,FALSE))</f>
        <v/>
      </c>
      <c r="X15" s="353" t="str">
        <f>IF(T15="","",VLOOKUP(T15,'Intervenants et coûts-j'!$C$15:$F$45,4,FALSE))</f>
        <v/>
      </c>
      <c r="Y15" s="353" t="str">
        <f>IF(U15="","",X15*U15)</f>
        <v/>
      </c>
      <c r="Z15" s="353" t="str">
        <f>IF(U15="","",IF(VLOOKUP(S15,'Intervenants et coûts-j'!$B$4:$E$12,4,FALSE)="Oui",Y15*0.15,0))</f>
        <v/>
      </c>
      <c r="AA15" s="353" t="str">
        <f>IF(V15="","",X15*V15*0.1)</f>
        <v/>
      </c>
      <c r="AB15" s="354">
        <f t="shared" si="7"/>
        <v>0</v>
      </c>
      <c r="AC15" s="782">
        <f>(Q15+R15)*800</f>
        <v>0</v>
      </c>
      <c r="AD15" s="761">
        <f>MIN(AC15,SUM(AB15:AB24))</f>
        <v>0</v>
      </c>
      <c r="AF15" s="255" t="e">
        <f>"ListeIntervenants"&amp;VLOOKUP(E15,'Intervenants et coûts-j'!$B$5:$C$12,2,FALSE)</f>
        <v>#N/A</v>
      </c>
      <c r="AG15" s="255">
        <f>IF(SUM($N$15:$N$24)=0,0,(N15*$P$15/SUM($N$15:$N$24)))</f>
        <v>0</v>
      </c>
    </row>
    <row r="16" spans="1:33" ht="15" customHeight="1" x14ac:dyDescent="0.2">
      <c r="A16" s="771"/>
      <c r="B16" s="774"/>
      <c r="C16" s="768"/>
      <c r="D16" s="777"/>
      <c r="E16" s="299"/>
      <c r="F16" s="211"/>
      <c r="G16" s="305"/>
      <c r="H16" s="305"/>
      <c r="I16" s="357" t="str">
        <f>IF(F16="","",VLOOKUP(F16,'Intervenants et coûts-j'!$C$15:$F$45,3,FALSE))</f>
        <v/>
      </c>
      <c r="J16" s="358" t="str">
        <f>IF(F16="","",VLOOKUP(F16,'Intervenants et coûts-j'!$C$15:$F$45,4,FALSE))</f>
        <v/>
      </c>
      <c r="K16" s="358" t="str">
        <f t="shared" ref="K16:K21" si="9">IF(G16="","",J16*G16)</f>
        <v/>
      </c>
      <c r="L16" s="358" t="str">
        <f>IF(E16="","",IF(VLOOKUP(E16,'Intervenants et coûts-j'!$B$4:$E$12,4,FALSE)="Oui",K16*0.15,0))</f>
        <v/>
      </c>
      <c r="M16" s="358" t="str">
        <f t="shared" ref="M16:M21" si="10">IF(H16="","",J16*H16*0.1)</f>
        <v/>
      </c>
      <c r="N16" s="359">
        <f t="shared" ref="N16:N21" si="11">IF(J16="",0,M16+L16+K16)</f>
        <v>0</v>
      </c>
      <c r="O16" s="783"/>
      <c r="P16" s="762"/>
      <c r="Q16" s="790"/>
      <c r="R16" s="790"/>
      <c r="S16" s="360" t="str">
        <f t="shared" si="4"/>
        <v/>
      </c>
      <c r="T16" s="361" t="str">
        <f t="shared" si="0"/>
        <v/>
      </c>
      <c r="U16" s="338"/>
      <c r="V16" s="338"/>
      <c r="W16" s="357" t="str">
        <f>IF(T16="","",VLOOKUP(T16,'Intervenants et coûts-j'!$C$15:$F$45,3,FALSE))</f>
        <v/>
      </c>
      <c r="X16" s="358" t="str">
        <f>IF(T16="","",VLOOKUP(T16,'Intervenants et coûts-j'!$C$15:$F$45,4,FALSE))</f>
        <v/>
      </c>
      <c r="Y16" s="358" t="str">
        <f t="shared" ref="Y16:Y21" si="12">IF(U16="","",X16*U16)</f>
        <v/>
      </c>
      <c r="Z16" s="358" t="str">
        <f>IF(U16="","",IF(VLOOKUP(S16,'Intervenants et coûts-j'!$B$4:$E$12,4,FALSE)="Oui",Y16*0.15,0))</f>
        <v/>
      </c>
      <c r="AA16" s="358" t="str">
        <f t="shared" ref="AA16:AA21" si="13">IF(V16="","",X16*V16*0.1)</f>
        <v/>
      </c>
      <c r="AB16" s="359">
        <f t="shared" si="7"/>
        <v>0</v>
      </c>
      <c r="AC16" s="783"/>
      <c r="AD16" s="762"/>
      <c r="AF16" s="255" t="e">
        <f>"ListeIntervenants"&amp;VLOOKUP(E16,'Intervenants et coûts-j'!$B$5:$C$12,2,FALSE)</f>
        <v>#N/A</v>
      </c>
      <c r="AG16" s="255">
        <f t="shared" ref="AG16:AG24" si="14">IF(SUM($N$15:$N$24)=0,0,(N16*$P$15/SUM($N$15:$N$24)))</f>
        <v>0</v>
      </c>
    </row>
    <row r="17" spans="1:33" ht="15" customHeight="1" x14ac:dyDescent="0.2">
      <c r="A17" s="771"/>
      <c r="B17" s="774"/>
      <c r="C17" s="768"/>
      <c r="D17" s="777"/>
      <c r="E17" s="299"/>
      <c r="F17" s="211"/>
      <c r="G17" s="305"/>
      <c r="H17" s="305"/>
      <c r="I17" s="357" t="str">
        <f>IF(F17="","",VLOOKUP(F17,'Intervenants et coûts-j'!$C$15:$F$45,3,FALSE))</f>
        <v/>
      </c>
      <c r="J17" s="358" t="str">
        <f>IF(F17="","",VLOOKUP(F17,'Intervenants et coûts-j'!$C$15:$F$45,4,FALSE))</f>
        <v/>
      </c>
      <c r="K17" s="358" t="str">
        <f t="shared" si="9"/>
        <v/>
      </c>
      <c r="L17" s="358" t="str">
        <f>IF(E17="","",IF(VLOOKUP(E17,'Intervenants et coûts-j'!$B$4:$E$12,4,FALSE)="Oui",K17*0.15,0))</f>
        <v/>
      </c>
      <c r="M17" s="358" t="str">
        <f t="shared" si="10"/>
        <v/>
      </c>
      <c r="N17" s="359">
        <f t="shared" si="11"/>
        <v>0</v>
      </c>
      <c r="O17" s="783"/>
      <c r="P17" s="762"/>
      <c r="Q17" s="790"/>
      <c r="R17" s="790"/>
      <c r="S17" s="360" t="str">
        <f t="shared" si="4"/>
        <v/>
      </c>
      <c r="T17" s="361" t="str">
        <f t="shared" si="0"/>
        <v/>
      </c>
      <c r="U17" s="338"/>
      <c r="V17" s="338"/>
      <c r="W17" s="357" t="str">
        <f>IF(T17="","",VLOOKUP(T17,'Intervenants et coûts-j'!$C$15:$F$45,3,FALSE))</f>
        <v/>
      </c>
      <c r="X17" s="358" t="str">
        <f>IF(T17="","",VLOOKUP(T17,'Intervenants et coûts-j'!$C$15:$F$45,4,FALSE))</f>
        <v/>
      </c>
      <c r="Y17" s="358" t="str">
        <f t="shared" si="12"/>
        <v/>
      </c>
      <c r="Z17" s="358" t="str">
        <f>IF(U17="","",IF(VLOOKUP(S17,'Intervenants et coûts-j'!$B$4:$E$12,4,FALSE)="Oui",Y17*0.15,0))</f>
        <v/>
      </c>
      <c r="AA17" s="358" t="str">
        <f t="shared" si="13"/>
        <v/>
      </c>
      <c r="AB17" s="359">
        <f t="shared" si="7"/>
        <v>0</v>
      </c>
      <c r="AC17" s="783"/>
      <c r="AD17" s="762"/>
      <c r="AF17" s="255" t="e">
        <f>"ListeIntervenants"&amp;VLOOKUP(E17,'Intervenants et coûts-j'!$B$5:$C$12,2,FALSE)</f>
        <v>#N/A</v>
      </c>
      <c r="AG17" s="255">
        <f t="shared" si="14"/>
        <v>0</v>
      </c>
    </row>
    <row r="18" spans="1:33" ht="15" customHeight="1" x14ac:dyDescent="0.2">
      <c r="A18" s="771"/>
      <c r="B18" s="774"/>
      <c r="C18" s="768"/>
      <c r="D18" s="777"/>
      <c r="E18" s="299"/>
      <c r="F18" s="211"/>
      <c r="G18" s="305"/>
      <c r="H18" s="305"/>
      <c r="I18" s="357" t="str">
        <f>IF(F18="","",VLOOKUP(F18,'Intervenants et coûts-j'!$C$15:$F$45,3,FALSE))</f>
        <v/>
      </c>
      <c r="J18" s="358" t="str">
        <f>IF(F18="","",VLOOKUP(F18,'Intervenants et coûts-j'!$C$15:$F$45,4,FALSE))</f>
        <v/>
      </c>
      <c r="K18" s="358" t="str">
        <f t="shared" si="9"/>
        <v/>
      </c>
      <c r="L18" s="358" t="str">
        <f>IF(E18="","",IF(VLOOKUP(E18,'Intervenants et coûts-j'!$B$4:$E$12,4,FALSE)="Oui",K18*0.15,0))</f>
        <v/>
      </c>
      <c r="M18" s="358" t="str">
        <f t="shared" si="10"/>
        <v/>
      </c>
      <c r="N18" s="359">
        <f t="shared" si="11"/>
        <v>0</v>
      </c>
      <c r="O18" s="783"/>
      <c r="P18" s="762"/>
      <c r="Q18" s="790"/>
      <c r="R18" s="790"/>
      <c r="S18" s="360" t="str">
        <f t="shared" si="4"/>
        <v/>
      </c>
      <c r="T18" s="361" t="str">
        <f t="shared" si="0"/>
        <v/>
      </c>
      <c r="U18" s="338"/>
      <c r="V18" s="338"/>
      <c r="W18" s="357" t="str">
        <f>IF(T18="","",VLOOKUP(T18,'Intervenants et coûts-j'!$C$15:$F$45,3,FALSE))</f>
        <v/>
      </c>
      <c r="X18" s="358" t="str">
        <f>IF(T18="","",VLOOKUP(T18,'Intervenants et coûts-j'!$C$15:$F$45,4,FALSE))</f>
        <v/>
      </c>
      <c r="Y18" s="358" t="str">
        <f t="shared" si="12"/>
        <v/>
      </c>
      <c r="Z18" s="358" t="str">
        <f>IF(U18="","",IF(VLOOKUP(S18,'Intervenants et coûts-j'!$B$4:$E$12,4,FALSE)="Oui",Y18*0.15,0))</f>
        <v/>
      </c>
      <c r="AA18" s="358" t="str">
        <f t="shared" si="13"/>
        <v/>
      </c>
      <c r="AB18" s="359">
        <f t="shared" si="7"/>
        <v>0</v>
      </c>
      <c r="AC18" s="783"/>
      <c r="AD18" s="762"/>
      <c r="AF18" s="255" t="e">
        <f>"ListeIntervenants"&amp;VLOOKUP(E18,'Intervenants et coûts-j'!$B$5:$C$12,2,FALSE)</f>
        <v>#N/A</v>
      </c>
      <c r="AG18" s="255">
        <f t="shared" si="14"/>
        <v>0</v>
      </c>
    </row>
    <row r="19" spans="1:33" ht="15" customHeight="1" x14ac:dyDescent="0.2">
      <c r="A19" s="771"/>
      <c r="B19" s="774"/>
      <c r="C19" s="768"/>
      <c r="D19" s="777"/>
      <c r="E19" s="299"/>
      <c r="F19" s="211"/>
      <c r="G19" s="305"/>
      <c r="H19" s="305"/>
      <c r="I19" s="357" t="str">
        <f>IF(F19="","",VLOOKUP(F19,'Intervenants et coûts-j'!$C$15:$F$45,3,FALSE))</f>
        <v/>
      </c>
      <c r="J19" s="358" t="str">
        <f>IF(F19="","",VLOOKUP(F19,'Intervenants et coûts-j'!$C$15:$F$45,4,FALSE))</f>
        <v/>
      </c>
      <c r="K19" s="358" t="str">
        <f t="shared" si="9"/>
        <v/>
      </c>
      <c r="L19" s="358" t="str">
        <f>IF(E19="","",IF(VLOOKUP(E19,'Intervenants et coûts-j'!$B$4:$E$12,4,FALSE)="Oui",K19*0.15,0))</f>
        <v/>
      </c>
      <c r="M19" s="358" t="str">
        <f t="shared" si="10"/>
        <v/>
      </c>
      <c r="N19" s="359">
        <f t="shared" si="11"/>
        <v>0</v>
      </c>
      <c r="O19" s="783"/>
      <c r="P19" s="762"/>
      <c r="Q19" s="790"/>
      <c r="R19" s="790"/>
      <c r="S19" s="360" t="str">
        <f t="shared" si="4"/>
        <v/>
      </c>
      <c r="T19" s="361" t="str">
        <f t="shared" si="0"/>
        <v/>
      </c>
      <c r="U19" s="338"/>
      <c r="V19" s="338"/>
      <c r="W19" s="357" t="str">
        <f>IF(T19="","",VLOOKUP(T19,'Intervenants et coûts-j'!$C$15:$F$45,3,FALSE))</f>
        <v/>
      </c>
      <c r="X19" s="358" t="str">
        <f>IF(T19="","",VLOOKUP(T19,'Intervenants et coûts-j'!$C$15:$F$45,4,FALSE))</f>
        <v/>
      </c>
      <c r="Y19" s="358" t="str">
        <f t="shared" si="12"/>
        <v/>
      </c>
      <c r="Z19" s="358" t="str">
        <f>IF(U19="","",IF(VLOOKUP(S19,'Intervenants et coûts-j'!$B$4:$E$12,4,FALSE)="Oui",Y19*0.15,0))</f>
        <v/>
      </c>
      <c r="AA19" s="358" t="str">
        <f t="shared" si="13"/>
        <v/>
      </c>
      <c r="AB19" s="359">
        <f t="shared" si="7"/>
        <v>0</v>
      </c>
      <c r="AC19" s="783"/>
      <c r="AD19" s="762"/>
      <c r="AF19" s="255" t="e">
        <f>"ListeIntervenants"&amp;VLOOKUP(E19,'Intervenants et coûts-j'!$B$5:$C$12,2,FALSE)</f>
        <v>#N/A</v>
      </c>
      <c r="AG19" s="255">
        <f t="shared" si="14"/>
        <v>0</v>
      </c>
    </row>
    <row r="20" spans="1:33" ht="15" customHeight="1" x14ac:dyDescent="0.2">
      <c r="A20" s="771"/>
      <c r="B20" s="774"/>
      <c r="C20" s="768"/>
      <c r="D20" s="778"/>
      <c r="E20" s="299"/>
      <c r="F20" s="211"/>
      <c r="G20" s="305"/>
      <c r="H20" s="305"/>
      <c r="I20" s="357" t="str">
        <f>IF(F20="","",VLOOKUP(F20,'Intervenants et coûts-j'!$C$15:$F$45,3,FALSE))</f>
        <v/>
      </c>
      <c r="J20" s="358" t="str">
        <f>IF(F20="","",VLOOKUP(F20,'Intervenants et coûts-j'!$C$15:$F$45,4,FALSE))</f>
        <v/>
      </c>
      <c r="K20" s="358" t="str">
        <f t="shared" si="9"/>
        <v/>
      </c>
      <c r="L20" s="358" t="str">
        <f>IF(E20="","",IF(VLOOKUP(E20,'Intervenants et coûts-j'!$B$4:$E$12,4,FALSE)="Oui",K20*0.15,0))</f>
        <v/>
      </c>
      <c r="M20" s="358" t="str">
        <f t="shared" si="10"/>
        <v/>
      </c>
      <c r="N20" s="359">
        <f t="shared" si="11"/>
        <v>0</v>
      </c>
      <c r="O20" s="783"/>
      <c r="P20" s="762"/>
      <c r="Q20" s="790"/>
      <c r="R20" s="790"/>
      <c r="S20" s="360" t="str">
        <f t="shared" si="4"/>
        <v/>
      </c>
      <c r="T20" s="361" t="str">
        <f t="shared" si="0"/>
        <v/>
      </c>
      <c r="U20" s="338"/>
      <c r="V20" s="338"/>
      <c r="W20" s="357" t="str">
        <f>IF(T20="","",VLOOKUP(T20,'Intervenants et coûts-j'!$C$15:$F$45,3,FALSE))</f>
        <v/>
      </c>
      <c r="X20" s="358" t="str">
        <f>IF(T20="","",VLOOKUP(T20,'Intervenants et coûts-j'!$C$15:$F$45,4,FALSE))</f>
        <v/>
      </c>
      <c r="Y20" s="358" t="str">
        <f t="shared" si="12"/>
        <v/>
      </c>
      <c r="Z20" s="358" t="str">
        <f>IF(U20="","",IF(VLOOKUP(S20,'Intervenants et coûts-j'!$B$4:$E$12,4,FALSE)="Oui",Y20*0.15,0))</f>
        <v/>
      </c>
      <c r="AA20" s="358" t="str">
        <f t="shared" si="13"/>
        <v/>
      </c>
      <c r="AB20" s="359">
        <f t="shared" si="7"/>
        <v>0</v>
      </c>
      <c r="AC20" s="783"/>
      <c r="AD20" s="762"/>
      <c r="AF20" s="255" t="e">
        <f>"ListeIntervenants"&amp;VLOOKUP(E20,'Intervenants et coûts-j'!$B$5:$C$12,2,FALSE)</f>
        <v>#N/A</v>
      </c>
      <c r="AG20" s="255">
        <f t="shared" si="14"/>
        <v>0</v>
      </c>
    </row>
    <row r="21" spans="1:33" ht="15" customHeight="1" x14ac:dyDescent="0.2">
      <c r="A21" s="771"/>
      <c r="B21" s="774"/>
      <c r="C21" s="768"/>
      <c r="D21" s="779"/>
      <c r="E21" s="300"/>
      <c r="F21" s="212"/>
      <c r="G21" s="306"/>
      <c r="H21" s="306"/>
      <c r="I21" s="362" t="str">
        <f>IF(F21="","",VLOOKUP(F21,'Intervenants et coûts-j'!$C$15:$F$45,3,FALSE))</f>
        <v/>
      </c>
      <c r="J21" s="363" t="str">
        <f>IF(F21="","",VLOOKUP(F21,'Intervenants et coûts-j'!$C$15:$F$45,4,FALSE))</f>
        <v/>
      </c>
      <c r="K21" s="363" t="str">
        <f t="shared" si="9"/>
        <v/>
      </c>
      <c r="L21" s="363" t="str">
        <f>IF(E21="","",IF(VLOOKUP(E21,'Intervenants et coûts-j'!$B$4:$E$12,4,FALSE)="Oui",K21*0.15,0))</f>
        <v/>
      </c>
      <c r="M21" s="363" t="str">
        <f t="shared" si="10"/>
        <v/>
      </c>
      <c r="N21" s="364">
        <f t="shared" si="11"/>
        <v>0</v>
      </c>
      <c r="O21" s="783"/>
      <c r="P21" s="762"/>
      <c r="Q21" s="790"/>
      <c r="R21" s="790"/>
      <c r="S21" s="365" t="str">
        <f t="shared" si="4"/>
        <v/>
      </c>
      <c r="T21" s="366" t="str">
        <f t="shared" si="0"/>
        <v/>
      </c>
      <c r="U21" s="339"/>
      <c r="V21" s="339"/>
      <c r="W21" s="362" t="str">
        <f>IF(T21="","",VLOOKUP(T21,'Intervenants et coûts-j'!$C$15:$F$45,3,FALSE))</f>
        <v/>
      </c>
      <c r="X21" s="363" t="str">
        <f>IF(T21="","",VLOOKUP(T21,'Intervenants et coûts-j'!$C$15:$F$45,4,FALSE))</f>
        <v/>
      </c>
      <c r="Y21" s="363" t="str">
        <f t="shared" si="12"/>
        <v/>
      </c>
      <c r="Z21" s="363" t="str">
        <f>IF(U21="","",IF(VLOOKUP(S21,'Intervenants et coûts-j'!$B$4:$E$12,4,FALSE)="Oui",Y21*0.15,0))</f>
        <v/>
      </c>
      <c r="AA21" s="363" t="str">
        <f t="shared" si="13"/>
        <v/>
      </c>
      <c r="AB21" s="364">
        <f t="shared" si="7"/>
        <v>0</v>
      </c>
      <c r="AC21" s="783"/>
      <c r="AD21" s="762"/>
      <c r="AF21" s="255" t="e">
        <f>"ListeIntervenants"&amp;VLOOKUP(E21,'Intervenants et coûts-j'!$B$5:$C$12,2,FALSE)</f>
        <v>#N/A</v>
      </c>
      <c r="AG21" s="255">
        <f t="shared" si="14"/>
        <v>0</v>
      </c>
    </row>
    <row r="22" spans="1:33" ht="15" customHeight="1" x14ac:dyDescent="0.2">
      <c r="A22" s="771"/>
      <c r="B22" s="774"/>
      <c r="C22" s="768"/>
      <c r="D22" s="764" t="s">
        <v>187</v>
      </c>
      <c r="E22" s="298"/>
      <c r="F22" s="301"/>
      <c r="G22" s="388"/>
      <c r="H22" s="307"/>
      <c r="I22" s="301"/>
      <c r="J22" s="301"/>
      <c r="K22" s="301"/>
      <c r="L22" s="301"/>
      <c r="M22" s="301"/>
      <c r="N22" s="303"/>
      <c r="O22" s="783"/>
      <c r="P22" s="762"/>
      <c r="Q22" s="790"/>
      <c r="R22" s="790"/>
      <c r="S22" s="367" t="str">
        <f t="shared" si="4"/>
        <v/>
      </c>
      <c r="T22" s="301" t="str">
        <f t="shared" si="0"/>
        <v/>
      </c>
      <c r="U22" s="385"/>
      <c r="V22" s="307"/>
      <c r="W22" s="301"/>
      <c r="X22" s="301"/>
      <c r="Y22" s="301"/>
      <c r="Z22" s="301" t="str">
        <f>IF(U22="","",IF(VLOOKUP(S22,'Intervenants et coûts-j'!$B$4:$E$12,4,FALSE)="Oui",Y22*0.15,0))</f>
        <v/>
      </c>
      <c r="AA22" s="301"/>
      <c r="AB22" s="340">
        <f t="shared" si="7"/>
        <v>0</v>
      </c>
      <c r="AC22" s="783"/>
      <c r="AD22" s="762"/>
      <c r="AF22" s="255" t="e">
        <f>"ListeIntervenants"&amp;VLOOKUP(E22,'Intervenants et coûts-j'!$B$5:$C$12,2,FALSE)</f>
        <v>#N/A</v>
      </c>
      <c r="AG22" s="255">
        <f t="shared" si="14"/>
        <v>0</v>
      </c>
    </row>
    <row r="23" spans="1:33" ht="15" customHeight="1" x14ac:dyDescent="0.2">
      <c r="A23" s="771"/>
      <c r="B23" s="774"/>
      <c r="C23" s="768"/>
      <c r="D23" s="765"/>
      <c r="E23" s="299"/>
      <c r="F23" s="302"/>
      <c r="G23" s="389"/>
      <c r="H23" s="308"/>
      <c r="I23" s="302"/>
      <c r="J23" s="302"/>
      <c r="K23" s="302"/>
      <c r="L23" s="302"/>
      <c r="M23" s="302"/>
      <c r="N23" s="304"/>
      <c r="O23" s="783"/>
      <c r="P23" s="762"/>
      <c r="Q23" s="790"/>
      <c r="R23" s="790"/>
      <c r="S23" s="360" t="str">
        <f t="shared" si="4"/>
        <v/>
      </c>
      <c r="T23" s="302" t="str">
        <f t="shared" si="0"/>
        <v/>
      </c>
      <c r="U23" s="386"/>
      <c r="V23" s="308"/>
      <c r="W23" s="302"/>
      <c r="X23" s="302"/>
      <c r="Y23" s="302"/>
      <c r="Z23" s="302" t="str">
        <f>IF(U23="","",IF(VLOOKUP(S23,'Intervenants et coûts-j'!$B$4:$E$12,4,FALSE)="Oui",Y23*0.15,0))</f>
        <v/>
      </c>
      <c r="AA23" s="302"/>
      <c r="AB23" s="341">
        <f t="shared" si="7"/>
        <v>0</v>
      </c>
      <c r="AC23" s="783"/>
      <c r="AD23" s="762"/>
      <c r="AF23" s="255" t="e">
        <f>"ListeIntervenants"&amp;VLOOKUP(E23,'Intervenants et coûts-j'!$B$5:$C$12,2,FALSE)</f>
        <v>#N/A</v>
      </c>
      <c r="AG23" s="255">
        <f t="shared" si="14"/>
        <v>0</v>
      </c>
    </row>
    <row r="24" spans="1:33" ht="15" customHeight="1" thickBot="1" x14ac:dyDescent="0.25">
      <c r="A24" s="772"/>
      <c r="B24" s="775"/>
      <c r="C24" s="769"/>
      <c r="D24" s="766"/>
      <c r="E24" s="314"/>
      <c r="F24" s="315"/>
      <c r="G24" s="390"/>
      <c r="H24" s="316"/>
      <c r="I24" s="315"/>
      <c r="J24" s="315"/>
      <c r="K24" s="315"/>
      <c r="L24" s="315"/>
      <c r="M24" s="315"/>
      <c r="N24" s="317"/>
      <c r="O24" s="784"/>
      <c r="P24" s="763"/>
      <c r="Q24" s="791"/>
      <c r="R24" s="791"/>
      <c r="S24" s="368" t="str">
        <f t="shared" si="4"/>
        <v/>
      </c>
      <c r="T24" s="315" t="str">
        <f t="shared" si="0"/>
        <v/>
      </c>
      <c r="U24" s="387"/>
      <c r="V24" s="316"/>
      <c r="W24" s="315"/>
      <c r="X24" s="315"/>
      <c r="Y24" s="315"/>
      <c r="Z24" s="315" t="str">
        <f>IF(U24="","",IF(VLOOKUP(S24,'Intervenants et coûts-j'!$B$4:$E$12,4,FALSE)="Oui",Y24*0.15,0))</f>
        <v/>
      </c>
      <c r="AA24" s="315"/>
      <c r="AB24" s="342">
        <f t="shared" si="7"/>
        <v>0</v>
      </c>
      <c r="AC24" s="784"/>
      <c r="AD24" s="763"/>
      <c r="AF24" s="255" t="e">
        <f>"ListeIntervenants"&amp;VLOOKUP(E24,'Intervenants et coûts-j'!$B$5:$C$12,2,FALSE)</f>
        <v>#N/A</v>
      </c>
      <c r="AG24" s="255">
        <f t="shared" si="14"/>
        <v>0</v>
      </c>
    </row>
    <row r="25" spans="1:33" x14ac:dyDescent="0.2">
      <c r="A25" s="770" t="s">
        <v>175</v>
      </c>
      <c r="B25" s="773"/>
      <c r="C25" s="767"/>
      <c r="D25" s="776" t="s">
        <v>261</v>
      </c>
      <c r="E25" s="310"/>
      <c r="F25" s="311"/>
      <c r="G25" s="312"/>
      <c r="H25" s="312"/>
      <c r="I25" s="352" t="str">
        <f>IF(F25="","",VLOOKUP(F25,'Intervenants et coûts-j'!$C$15:$F$45,3,FALSE))</f>
        <v/>
      </c>
      <c r="J25" s="353" t="str">
        <f>IF(F25="","",VLOOKUP(F25,'Intervenants et coûts-j'!$C$15:$F$45,4,FALSE))</f>
        <v/>
      </c>
      <c r="K25" s="353" t="str">
        <f>IF(G25="","",J25*G25)</f>
        <v/>
      </c>
      <c r="L25" s="353" t="str">
        <f>IF(E25="","",IF(VLOOKUP(E25,'Intervenants et coûts-j'!$B$4:$E$12,4,FALSE)="Oui",K25*0.15,0))</f>
        <v/>
      </c>
      <c r="M25" s="353" t="str">
        <f>IF(H25="","",J25*H25*0.1)</f>
        <v/>
      </c>
      <c r="N25" s="354">
        <f>IF(J25="",0,M25+L25+K25)</f>
        <v>0</v>
      </c>
      <c r="O25" s="782">
        <f>(B25+C25)*1000</f>
        <v>0</v>
      </c>
      <c r="P25" s="761">
        <f>MIN(O25,SUM(N25:N34))</f>
        <v>0</v>
      </c>
      <c r="Q25" s="789"/>
      <c r="R25" s="789"/>
      <c r="S25" s="355" t="str">
        <f t="shared" si="4"/>
        <v/>
      </c>
      <c r="T25" s="356" t="str">
        <f t="shared" si="0"/>
        <v/>
      </c>
      <c r="U25" s="337"/>
      <c r="V25" s="337"/>
      <c r="W25" s="352" t="str">
        <f>IF(T25="","",VLOOKUP(T25,'Intervenants et coûts-j'!$C$15:$F$45,3,FALSE))</f>
        <v/>
      </c>
      <c r="X25" s="353" t="str">
        <f>IF(T25="","",VLOOKUP(T25,'Intervenants et coûts-j'!$C$15:$F$45,4,FALSE))</f>
        <v/>
      </c>
      <c r="Y25" s="353" t="str">
        <f>IF(U25="","",X25*U25)</f>
        <v/>
      </c>
      <c r="Z25" s="353" t="str">
        <f>IF(U25="","",IF(VLOOKUP(S25,'Intervenants et coûts-j'!$B$4:$E$12,4,FALSE)="Oui",Y25*0.15,0))</f>
        <v/>
      </c>
      <c r="AA25" s="353" t="str">
        <f>IF(V25="","",X25*V25*0.1)</f>
        <v/>
      </c>
      <c r="AB25" s="354">
        <f t="shared" si="7"/>
        <v>0</v>
      </c>
      <c r="AC25" s="782">
        <f>(Q25+R25)*1000</f>
        <v>0</v>
      </c>
      <c r="AD25" s="761">
        <f>MIN(AC25,SUM(AB25:AB34))</f>
        <v>0</v>
      </c>
      <c r="AF25" s="255" t="e">
        <f>"ListeIntervenants"&amp;VLOOKUP(E25,'Intervenants et coûts-j'!$B$5:$C$12,2,FALSE)</f>
        <v>#N/A</v>
      </c>
      <c r="AG25" s="255">
        <f>IF(SUM($N$25:$N$34)=0,0,(N25*$P$25/SUM($N$25:$N$34)))</f>
        <v>0</v>
      </c>
    </row>
    <row r="26" spans="1:33" ht="15" customHeight="1" x14ac:dyDescent="0.2">
      <c r="A26" s="771"/>
      <c r="B26" s="774"/>
      <c r="C26" s="768"/>
      <c r="D26" s="777"/>
      <c r="E26" s="299"/>
      <c r="F26" s="211"/>
      <c r="G26" s="305"/>
      <c r="H26" s="305"/>
      <c r="I26" s="357" t="str">
        <f>IF(F26="","",VLOOKUP(F26,'Intervenants et coûts-j'!$C$15:$F$45,3,FALSE))</f>
        <v/>
      </c>
      <c r="J26" s="358" t="str">
        <f>IF(F26="","",VLOOKUP(F26,'Intervenants et coûts-j'!$C$15:$F$45,4,FALSE))</f>
        <v/>
      </c>
      <c r="K26" s="358" t="str">
        <f t="shared" ref="K26:K31" si="15">IF(G26="","",J26*G26)</f>
        <v/>
      </c>
      <c r="L26" s="358" t="str">
        <f>IF(E26="","",IF(VLOOKUP(E26,'Intervenants et coûts-j'!$B$4:$E$12,4,FALSE)="Oui",K26*0.15,0))</f>
        <v/>
      </c>
      <c r="M26" s="358" t="str">
        <f t="shared" ref="M26:M31" si="16">IF(H26="","",J26*H26*0.1)</f>
        <v/>
      </c>
      <c r="N26" s="359">
        <f t="shared" ref="N26:N31" si="17">IF(J26="",0,M26+L26+K26)</f>
        <v>0</v>
      </c>
      <c r="O26" s="783"/>
      <c r="P26" s="762"/>
      <c r="Q26" s="790"/>
      <c r="R26" s="790"/>
      <c r="S26" s="360" t="str">
        <f t="shared" si="4"/>
        <v/>
      </c>
      <c r="T26" s="361" t="str">
        <f t="shared" si="0"/>
        <v/>
      </c>
      <c r="U26" s="338"/>
      <c r="V26" s="338"/>
      <c r="W26" s="357" t="str">
        <f>IF(T26="","",VLOOKUP(T26,'Intervenants et coûts-j'!$C$15:$F$45,3,FALSE))</f>
        <v/>
      </c>
      <c r="X26" s="358" t="str">
        <f>IF(T26="","",VLOOKUP(T26,'Intervenants et coûts-j'!$C$15:$F$45,4,FALSE))</f>
        <v/>
      </c>
      <c r="Y26" s="358" t="str">
        <f t="shared" ref="Y26:Y31" si="18">IF(U26="","",X26*U26)</f>
        <v/>
      </c>
      <c r="Z26" s="358" t="str">
        <f>IF(U26="","",IF(VLOOKUP(S26,'Intervenants et coûts-j'!$B$4:$E$12,4,FALSE)="Oui",Y26*0.15,0))</f>
        <v/>
      </c>
      <c r="AA26" s="358" t="str">
        <f t="shared" ref="AA26:AA31" si="19">IF(V26="","",X26*V26*0.1)</f>
        <v/>
      </c>
      <c r="AB26" s="359">
        <f t="shared" si="7"/>
        <v>0</v>
      </c>
      <c r="AC26" s="783"/>
      <c r="AD26" s="762"/>
      <c r="AF26" s="255" t="e">
        <f>"ListeIntervenants"&amp;VLOOKUP(E26,'Intervenants et coûts-j'!$B$5:$C$12,2,FALSE)</f>
        <v>#N/A</v>
      </c>
      <c r="AG26" s="255">
        <f t="shared" ref="AG26:AG34" si="20">IF(SUM($N$25:$N$34)=0,0,(N26*$P$25/SUM($N$25:$N$34)))</f>
        <v>0</v>
      </c>
    </row>
    <row r="27" spans="1:33" ht="15" customHeight="1" x14ac:dyDescent="0.2">
      <c r="A27" s="771"/>
      <c r="B27" s="774"/>
      <c r="C27" s="768"/>
      <c r="D27" s="777"/>
      <c r="E27" s="299"/>
      <c r="F27" s="211"/>
      <c r="G27" s="305"/>
      <c r="H27" s="305"/>
      <c r="I27" s="357" t="str">
        <f>IF(F27="","",VLOOKUP(F27,'Intervenants et coûts-j'!$C$15:$F$45,3,FALSE))</f>
        <v/>
      </c>
      <c r="J27" s="358" t="str">
        <f>IF(F27="","",VLOOKUP(F27,'Intervenants et coûts-j'!$C$15:$F$45,4,FALSE))</f>
        <v/>
      </c>
      <c r="K27" s="358" t="str">
        <f t="shared" si="15"/>
        <v/>
      </c>
      <c r="L27" s="358" t="str">
        <f>IF(E27="","",IF(VLOOKUP(E27,'Intervenants et coûts-j'!$B$4:$E$12,4,FALSE)="Oui",K27*0.15,0))</f>
        <v/>
      </c>
      <c r="M27" s="358" t="str">
        <f t="shared" si="16"/>
        <v/>
      </c>
      <c r="N27" s="359">
        <f t="shared" si="17"/>
        <v>0</v>
      </c>
      <c r="O27" s="783"/>
      <c r="P27" s="762"/>
      <c r="Q27" s="790"/>
      <c r="R27" s="790"/>
      <c r="S27" s="330" t="str">
        <f t="shared" si="4"/>
        <v/>
      </c>
      <c r="T27" s="361" t="str">
        <f t="shared" si="0"/>
        <v/>
      </c>
      <c r="U27" s="338"/>
      <c r="V27" s="338"/>
      <c r="W27" s="357" t="str">
        <f>IF(T27="","",VLOOKUP(T27,'Intervenants et coûts-j'!$C$15:$F$45,3,FALSE))</f>
        <v/>
      </c>
      <c r="X27" s="358" t="str">
        <f>IF(T27="","",VLOOKUP(T27,'Intervenants et coûts-j'!$C$15:$F$45,4,FALSE))</f>
        <v/>
      </c>
      <c r="Y27" s="358" t="str">
        <f t="shared" si="18"/>
        <v/>
      </c>
      <c r="Z27" s="358" t="str">
        <f>IF(U27="","",IF(VLOOKUP(S27,'Intervenants et coûts-j'!$B$4:$E$12,4,FALSE)="Oui",Y27*0.15,0))</f>
        <v/>
      </c>
      <c r="AA27" s="358" t="str">
        <f t="shared" si="19"/>
        <v/>
      </c>
      <c r="AB27" s="359">
        <f t="shared" si="7"/>
        <v>0</v>
      </c>
      <c r="AC27" s="783"/>
      <c r="AD27" s="762"/>
      <c r="AF27" s="255" t="e">
        <f>"ListeIntervenants"&amp;VLOOKUP(E27,'Intervenants et coûts-j'!$B$5:$C$12,2,FALSE)</f>
        <v>#N/A</v>
      </c>
      <c r="AG27" s="255">
        <f t="shared" si="20"/>
        <v>0</v>
      </c>
    </row>
    <row r="28" spans="1:33" ht="15" customHeight="1" x14ac:dyDescent="0.2">
      <c r="A28" s="771"/>
      <c r="B28" s="774"/>
      <c r="C28" s="768"/>
      <c r="D28" s="777"/>
      <c r="E28" s="299"/>
      <c r="F28" s="211"/>
      <c r="G28" s="305"/>
      <c r="H28" s="305"/>
      <c r="I28" s="357" t="str">
        <f>IF(F28="","",VLOOKUP(F28,'Intervenants et coûts-j'!$C$15:$F$45,3,FALSE))</f>
        <v/>
      </c>
      <c r="J28" s="358" t="str">
        <f>IF(F28="","",VLOOKUP(F28,'Intervenants et coûts-j'!$C$15:$F$45,4,FALSE))</f>
        <v/>
      </c>
      <c r="K28" s="358" t="str">
        <f t="shared" si="15"/>
        <v/>
      </c>
      <c r="L28" s="358" t="str">
        <f>IF(E28="","",IF(VLOOKUP(E28,'Intervenants et coûts-j'!$B$4:$E$12,4,FALSE)="Oui",K28*0.15,0))</f>
        <v/>
      </c>
      <c r="M28" s="358" t="str">
        <f t="shared" si="16"/>
        <v/>
      </c>
      <c r="N28" s="359">
        <f t="shared" si="17"/>
        <v>0</v>
      </c>
      <c r="O28" s="783"/>
      <c r="P28" s="762"/>
      <c r="Q28" s="790"/>
      <c r="R28" s="790"/>
      <c r="S28" s="360" t="str">
        <f t="shared" si="4"/>
        <v/>
      </c>
      <c r="T28" s="361" t="str">
        <f t="shared" si="0"/>
        <v/>
      </c>
      <c r="U28" s="338"/>
      <c r="V28" s="338"/>
      <c r="W28" s="357" t="str">
        <f>IF(T28="","",VLOOKUP(T28,'Intervenants et coûts-j'!$C$15:$F$45,3,FALSE))</f>
        <v/>
      </c>
      <c r="X28" s="358" t="str">
        <f>IF(T28="","",VLOOKUP(T28,'Intervenants et coûts-j'!$C$15:$F$45,4,FALSE))</f>
        <v/>
      </c>
      <c r="Y28" s="358" t="str">
        <f t="shared" si="18"/>
        <v/>
      </c>
      <c r="Z28" s="358" t="str">
        <f>IF(U28="","",IF(VLOOKUP(S28,'Intervenants et coûts-j'!$B$4:$E$12,4,FALSE)="Oui",Y28*0.15,0))</f>
        <v/>
      </c>
      <c r="AA28" s="358" t="str">
        <f t="shared" si="19"/>
        <v/>
      </c>
      <c r="AB28" s="359">
        <f t="shared" si="7"/>
        <v>0</v>
      </c>
      <c r="AC28" s="783"/>
      <c r="AD28" s="762"/>
      <c r="AF28" s="255" t="e">
        <f>"ListeIntervenants"&amp;VLOOKUP(E28,'Intervenants et coûts-j'!$B$5:$C$12,2,FALSE)</f>
        <v>#N/A</v>
      </c>
      <c r="AG28" s="255">
        <f t="shared" si="20"/>
        <v>0</v>
      </c>
    </row>
    <row r="29" spans="1:33" ht="15" customHeight="1" x14ac:dyDescent="0.2">
      <c r="A29" s="771"/>
      <c r="B29" s="774"/>
      <c r="C29" s="768"/>
      <c r="D29" s="777"/>
      <c r="E29" s="299"/>
      <c r="F29" s="211"/>
      <c r="G29" s="305"/>
      <c r="H29" s="305"/>
      <c r="I29" s="357" t="str">
        <f>IF(F29="","",VLOOKUP(F29,'Intervenants et coûts-j'!$C$15:$F$45,3,FALSE))</f>
        <v/>
      </c>
      <c r="J29" s="358" t="str">
        <f>IF(F29="","",VLOOKUP(F29,'Intervenants et coûts-j'!$C$15:$F$45,4,FALSE))</f>
        <v/>
      </c>
      <c r="K29" s="358" t="str">
        <f t="shared" si="15"/>
        <v/>
      </c>
      <c r="L29" s="358" t="str">
        <f>IF(E29="","",IF(VLOOKUP(E29,'Intervenants et coûts-j'!$B$4:$E$12,4,FALSE)="Oui",K29*0.15,0))</f>
        <v/>
      </c>
      <c r="M29" s="358" t="str">
        <f t="shared" si="16"/>
        <v/>
      </c>
      <c r="N29" s="359">
        <f t="shared" si="17"/>
        <v>0</v>
      </c>
      <c r="O29" s="783"/>
      <c r="P29" s="762"/>
      <c r="Q29" s="790"/>
      <c r="R29" s="790"/>
      <c r="S29" s="360" t="str">
        <f t="shared" si="4"/>
        <v/>
      </c>
      <c r="T29" s="361" t="str">
        <f t="shared" si="0"/>
        <v/>
      </c>
      <c r="U29" s="338"/>
      <c r="V29" s="338"/>
      <c r="W29" s="357" t="str">
        <f>IF(T29="","",VLOOKUP(T29,'Intervenants et coûts-j'!$C$15:$F$45,3,FALSE))</f>
        <v/>
      </c>
      <c r="X29" s="358" t="str">
        <f>IF(T29="","",VLOOKUP(T29,'Intervenants et coûts-j'!$C$15:$F$45,4,FALSE))</f>
        <v/>
      </c>
      <c r="Y29" s="358" t="str">
        <f t="shared" si="18"/>
        <v/>
      </c>
      <c r="Z29" s="358" t="str">
        <f>IF(U29="","",IF(VLOOKUP(S29,'Intervenants et coûts-j'!$B$4:$E$12,4,FALSE)="Oui",Y29*0.15,0))</f>
        <v/>
      </c>
      <c r="AA29" s="358" t="str">
        <f t="shared" si="19"/>
        <v/>
      </c>
      <c r="AB29" s="359">
        <f t="shared" si="7"/>
        <v>0</v>
      </c>
      <c r="AC29" s="783"/>
      <c r="AD29" s="762"/>
      <c r="AF29" s="255" t="e">
        <f>"ListeIntervenants"&amp;VLOOKUP(E29,'Intervenants et coûts-j'!$B$5:$C$12,2,FALSE)</f>
        <v>#N/A</v>
      </c>
      <c r="AG29" s="255">
        <f t="shared" si="20"/>
        <v>0</v>
      </c>
    </row>
    <row r="30" spans="1:33" ht="15" customHeight="1" x14ac:dyDescent="0.2">
      <c r="A30" s="771"/>
      <c r="B30" s="774"/>
      <c r="C30" s="768"/>
      <c r="D30" s="778"/>
      <c r="E30" s="299"/>
      <c r="F30" s="211"/>
      <c r="G30" s="305"/>
      <c r="H30" s="305"/>
      <c r="I30" s="357" t="str">
        <f>IF(F30="","",VLOOKUP(F30,'Intervenants et coûts-j'!$C$15:$F$45,3,FALSE))</f>
        <v/>
      </c>
      <c r="J30" s="358" t="str">
        <f>IF(F30="","",VLOOKUP(F30,'Intervenants et coûts-j'!$C$15:$F$45,4,FALSE))</f>
        <v/>
      </c>
      <c r="K30" s="358" t="str">
        <f t="shared" si="15"/>
        <v/>
      </c>
      <c r="L30" s="358" t="str">
        <f>IF(E30="","",IF(VLOOKUP(E30,'Intervenants et coûts-j'!$B$4:$E$12,4,FALSE)="Oui",K30*0.15,0))</f>
        <v/>
      </c>
      <c r="M30" s="358" t="str">
        <f t="shared" si="16"/>
        <v/>
      </c>
      <c r="N30" s="359">
        <f t="shared" si="17"/>
        <v>0</v>
      </c>
      <c r="O30" s="783"/>
      <c r="P30" s="762"/>
      <c r="Q30" s="790"/>
      <c r="R30" s="790"/>
      <c r="S30" s="360" t="str">
        <f t="shared" si="4"/>
        <v/>
      </c>
      <c r="T30" s="361" t="str">
        <f t="shared" si="0"/>
        <v/>
      </c>
      <c r="U30" s="338"/>
      <c r="V30" s="338"/>
      <c r="W30" s="357" t="str">
        <f>IF(T30="","",VLOOKUP(T30,'Intervenants et coûts-j'!$C$15:$F$45,3,FALSE))</f>
        <v/>
      </c>
      <c r="X30" s="358" t="str">
        <f>IF(T30="","",VLOOKUP(T30,'Intervenants et coûts-j'!$C$15:$F$45,4,FALSE))</f>
        <v/>
      </c>
      <c r="Y30" s="358" t="str">
        <f t="shared" si="18"/>
        <v/>
      </c>
      <c r="Z30" s="358" t="str">
        <f>IF(U30="","",IF(VLOOKUP(S30,'Intervenants et coûts-j'!$B$4:$E$12,4,FALSE)="Oui",Y30*0.15,0))</f>
        <v/>
      </c>
      <c r="AA30" s="358" t="str">
        <f t="shared" si="19"/>
        <v/>
      </c>
      <c r="AB30" s="359">
        <f t="shared" si="7"/>
        <v>0</v>
      </c>
      <c r="AC30" s="783"/>
      <c r="AD30" s="762"/>
      <c r="AF30" s="255" t="e">
        <f>"ListeIntervenants"&amp;VLOOKUP(E30,'Intervenants et coûts-j'!$B$5:$C$12,2,FALSE)</f>
        <v>#N/A</v>
      </c>
      <c r="AG30" s="255">
        <f t="shared" si="20"/>
        <v>0</v>
      </c>
    </row>
    <row r="31" spans="1:33" ht="15" customHeight="1" x14ac:dyDescent="0.2">
      <c r="A31" s="771"/>
      <c r="B31" s="774"/>
      <c r="C31" s="768"/>
      <c r="D31" s="779"/>
      <c r="E31" s="300"/>
      <c r="F31" s="212"/>
      <c r="G31" s="306"/>
      <c r="H31" s="306"/>
      <c r="I31" s="362" t="str">
        <f>IF(F31="","",VLOOKUP(F31,'Intervenants et coûts-j'!$C$15:$F$45,3,FALSE))</f>
        <v/>
      </c>
      <c r="J31" s="363" t="str">
        <f>IF(F31="","",VLOOKUP(F31,'Intervenants et coûts-j'!$C$15:$F$45,4,FALSE))</f>
        <v/>
      </c>
      <c r="K31" s="363" t="str">
        <f t="shared" si="15"/>
        <v/>
      </c>
      <c r="L31" s="363" t="str">
        <f>IF(E31="","",IF(VLOOKUP(E31,'Intervenants et coûts-j'!$B$4:$E$12,4,FALSE)="Oui",K31*0.15,0))</f>
        <v/>
      </c>
      <c r="M31" s="363" t="str">
        <f t="shared" si="16"/>
        <v/>
      </c>
      <c r="N31" s="364">
        <f t="shared" si="17"/>
        <v>0</v>
      </c>
      <c r="O31" s="783"/>
      <c r="P31" s="762"/>
      <c r="Q31" s="790"/>
      <c r="R31" s="790"/>
      <c r="S31" s="365" t="str">
        <f t="shared" si="4"/>
        <v/>
      </c>
      <c r="T31" s="366" t="str">
        <f t="shared" si="0"/>
        <v/>
      </c>
      <c r="U31" s="339"/>
      <c r="V31" s="339"/>
      <c r="W31" s="362" t="str">
        <f>IF(T31="","",VLOOKUP(T31,'Intervenants et coûts-j'!$C$15:$F$45,3,FALSE))</f>
        <v/>
      </c>
      <c r="X31" s="363" t="str">
        <f>IF(T31="","",VLOOKUP(T31,'Intervenants et coûts-j'!$C$15:$F$45,4,FALSE))</f>
        <v/>
      </c>
      <c r="Y31" s="363" t="str">
        <f t="shared" si="18"/>
        <v/>
      </c>
      <c r="Z31" s="363" t="str">
        <f>IF(U31="","",IF(VLOOKUP(S31,'Intervenants et coûts-j'!$B$4:$E$12,4,FALSE)="Oui",Y31*0.15,0))</f>
        <v/>
      </c>
      <c r="AA31" s="363" t="str">
        <f t="shared" si="19"/>
        <v/>
      </c>
      <c r="AB31" s="364">
        <f t="shared" si="7"/>
        <v>0</v>
      </c>
      <c r="AC31" s="783"/>
      <c r="AD31" s="762"/>
      <c r="AF31" s="255" t="e">
        <f>"ListeIntervenants"&amp;VLOOKUP(E31,'Intervenants et coûts-j'!$B$5:$C$12,2,FALSE)</f>
        <v>#N/A</v>
      </c>
      <c r="AG31" s="255">
        <f t="shared" si="20"/>
        <v>0</v>
      </c>
    </row>
    <row r="32" spans="1:33" ht="15" customHeight="1" x14ac:dyDescent="0.2">
      <c r="A32" s="771"/>
      <c r="B32" s="774"/>
      <c r="C32" s="768"/>
      <c r="D32" s="764" t="s">
        <v>187</v>
      </c>
      <c r="E32" s="298"/>
      <c r="F32" s="301"/>
      <c r="G32" s="388"/>
      <c r="H32" s="307"/>
      <c r="I32" s="301"/>
      <c r="J32" s="301"/>
      <c r="K32" s="301"/>
      <c r="L32" s="301"/>
      <c r="M32" s="301"/>
      <c r="N32" s="303"/>
      <c r="O32" s="783"/>
      <c r="P32" s="762"/>
      <c r="Q32" s="790"/>
      <c r="R32" s="790"/>
      <c r="S32" s="367" t="str">
        <f t="shared" si="4"/>
        <v/>
      </c>
      <c r="T32" s="301" t="str">
        <f t="shared" si="0"/>
        <v/>
      </c>
      <c r="U32" s="385"/>
      <c r="V32" s="307"/>
      <c r="W32" s="301"/>
      <c r="X32" s="301"/>
      <c r="Y32" s="301"/>
      <c r="Z32" s="301" t="str">
        <f>IF(U32="","",IF(VLOOKUP(S32,'Intervenants et coûts-j'!$B$4:$E$12,4,FALSE)="Oui",Y32*0.15,0))</f>
        <v/>
      </c>
      <c r="AA32" s="301"/>
      <c r="AB32" s="340">
        <f t="shared" si="7"/>
        <v>0</v>
      </c>
      <c r="AC32" s="783"/>
      <c r="AD32" s="762"/>
      <c r="AF32" s="255" t="e">
        <f>"ListeIntervenants"&amp;VLOOKUP(E32,'Intervenants et coûts-j'!$B$5:$C$12,2,FALSE)</f>
        <v>#N/A</v>
      </c>
      <c r="AG32" s="255">
        <f t="shared" si="20"/>
        <v>0</v>
      </c>
    </row>
    <row r="33" spans="1:33" ht="15" customHeight="1" x14ac:dyDescent="0.2">
      <c r="A33" s="771"/>
      <c r="B33" s="774"/>
      <c r="C33" s="768"/>
      <c r="D33" s="765"/>
      <c r="E33" s="299"/>
      <c r="F33" s="302"/>
      <c r="G33" s="389"/>
      <c r="H33" s="308"/>
      <c r="I33" s="302"/>
      <c r="J33" s="302"/>
      <c r="K33" s="302"/>
      <c r="L33" s="302"/>
      <c r="M33" s="302"/>
      <c r="N33" s="304"/>
      <c r="O33" s="783"/>
      <c r="P33" s="762"/>
      <c r="Q33" s="790"/>
      <c r="R33" s="790"/>
      <c r="S33" s="360" t="str">
        <f t="shared" si="4"/>
        <v/>
      </c>
      <c r="T33" s="302" t="str">
        <f t="shared" si="0"/>
        <v/>
      </c>
      <c r="U33" s="386"/>
      <c r="V33" s="308"/>
      <c r="W33" s="302"/>
      <c r="X33" s="302"/>
      <c r="Y33" s="302"/>
      <c r="Z33" s="302" t="str">
        <f>IF(U33="","",IF(VLOOKUP(S33,'Intervenants et coûts-j'!$B$4:$E$12,4,FALSE)="Oui",Y33*0.15,0))</f>
        <v/>
      </c>
      <c r="AA33" s="302"/>
      <c r="AB33" s="341">
        <f t="shared" si="7"/>
        <v>0</v>
      </c>
      <c r="AC33" s="783"/>
      <c r="AD33" s="762"/>
      <c r="AF33" s="255" t="e">
        <f>"ListeIntervenants"&amp;VLOOKUP(E33,'Intervenants et coûts-j'!$B$5:$C$12,2,FALSE)</f>
        <v>#N/A</v>
      </c>
      <c r="AG33" s="255">
        <f t="shared" si="20"/>
        <v>0</v>
      </c>
    </row>
    <row r="34" spans="1:33" ht="15" customHeight="1" thickBot="1" x14ac:dyDescent="0.25">
      <c r="A34" s="772"/>
      <c r="B34" s="775"/>
      <c r="C34" s="769"/>
      <c r="D34" s="766"/>
      <c r="E34" s="314"/>
      <c r="F34" s="315"/>
      <c r="G34" s="390"/>
      <c r="H34" s="316"/>
      <c r="I34" s="315"/>
      <c r="J34" s="315"/>
      <c r="K34" s="315"/>
      <c r="L34" s="315"/>
      <c r="M34" s="315"/>
      <c r="N34" s="317"/>
      <c r="O34" s="784"/>
      <c r="P34" s="763"/>
      <c r="Q34" s="791"/>
      <c r="R34" s="791"/>
      <c r="S34" s="368" t="str">
        <f t="shared" si="4"/>
        <v/>
      </c>
      <c r="T34" s="315" t="str">
        <f t="shared" si="0"/>
        <v/>
      </c>
      <c r="U34" s="387"/>
      <c r="V34" s="316"/>
      <c r="W34" s="315"/>
      <c r="X34" s="315"/>
      <c r="Y34" s="315"/>
      <c r="Z34" s="315" t="str">
        <f>IF(U34="","",IF(VLOOKUP(S34,'Intervenants et coûts-j'!$B$4:$E$12,4,FALSE)="Oui",Y34*0.15,0))</f>
        <v/>
      </c>
      <c r="AA34" s="315"/>
      <c r="AB34" s="342">
        <f t="shared" si="7"/>
        <v>0</v>
      </c>
      <c r="AC34" s="784"/>
      <c r="AD34" s="763"/>
      <c r="AF34" s="255" t="e">
        <f>"ListeIntervenants"&amp;VLOOKUP(E34,'Intervenants et coûts-j'!$B$5:$C$12,2,FALSE)</f>
        <v>#N/A</v>
      </c>
      <c r="AG34" s="255">
        <f t="shared" si="20"/>
        <v>0</v>
      </c>
    </row>
    <row r="35" spans="1:33" s="272" customFormat="1" ht="13.5" thickBot="1" x14ac:dyDescent="0.25">
      <c r="A35" s="369" t="s">
        <v>100</v>
      </c>
      <c r="B35" s="370"/>
      <c r="C35" s="370"/>
      <c r="D35" s="370"/>
      <c r="E35" s="370">
        <f>SUM(E5:E34)</f>
        <v>0</v>
      </c>
      <c r="F35" s="371" t="s">
        <v>57</v>
      </c>
      <c r="G35" s="372"/>
      <c r="H35" s="372"/>
      <c r="I35" s="373"/>
      <c r="J35" s="374"/>
      <c r="K35" s="375"/>
      <c r="L35" s="376"/>
      <c r="M35" s="376" t="s">
        <v>57</v>
      </c>
      <c r="N35" s="376">
        <f>SUM(N5:N34)</f>
        <v>0</v>
      </c>
      <c r="O35" s="376" t="s">
        <v>57</v>
      </c>
      <c r="P35" s="377">
        <f>SUM(P5:P34)</f>
        <v>0</v>
      </c>
      <c r="Q35" s="370"/>
      <c r="R35" s="370"/>
      <c r="S35" s="370">
        <f>SUM(S5:S34)</f>
        <v>0</v>
      </c>
      <c r="T35" s="371" t="s">
        <v>57</v>
      </c>
      <c r="U35" s="372"/>
      <c r="V35" s="372"/>
      <c r="W35" s="373"/>
      <c r="X35" s="374"/>
      <c r="Y35" s="375"/>
      <c r="Z35" s="376"/>
      <c r="AA35" s="376" t="s">
        <v>57</v>
      </c>
      <c r="AB35" s="376">
        <f>SUM(AB5:AB34)</f>
        <v>0</v>
      </c>
      <c r="AC35" s="376" t="s">
        <v>57</v>
      </c>
      <c r="AD35" s="377">
        <f>SUM(AD5:AD34)</f>
        <v>0</v>
      </c>
      <c r="AF35" s="622"/>
      <c r="AG35" s="622"/>
    </row>
    <row r="38" spans="1:33" x14ac:dyDescent="0.2">
      <c r="E38" s="780" t="s">
        <v>81</v>
      </c>
      <c r="F38" s="781"/>
      <c r="G38" s="742" t="s">
        <v>167</v>
      </c>
      <c r="H38" s="743"/>
      <c r="I38" s="743"/>
      <c r="J38" s="743"/>
      <c r="K38" s="743"/>
      <c r="L38" s="743"/>
      <c r="M38" s="743"/>
      <c r="N38" s="744"/>
      <c r="S38" s="780" t="s">
        <v>81</v>
      </c>
      <c r="T38" s="781"/>
      <c r="U38" s="742" t="s">
        <v>180</v>
      </c>
      <c r="V38" s="743"/>
      <c r="W38" s="743"/>
      <c r="X38" s="743"/>
      <c r="Y38" s="743"/>
      <c r="Z38" s="743"/>
      <c r="AA38" s="743"/>
      <c r="AB38" s="744"/>
    </row>
    <row r="39" spans="1:33" x14ac:dyDescent="0.2">
      <c r="E39" s="747" t="s">
        <v>43</v>
      </c>
      <c r="F39" s="748"/>
      <c r="G39" s="159">
        <f>'Dép.volet 2-Animation-2024-2025'!E76</f>
        <v>0</v>
      </c>
      <c r="H39" s="159" t="str">
        <f>'Dép.volet 2-Animation-2024-2025'!F76</f>
        <v>-</v>
      </c>
      <c r="I39" s="159" t="str">
        <f>'Dép.volet 2-Animation-2024-2025'!G76</f>
        <v>-</v>
      </c>
      <c r="J39" s="159" t="str">
        <f>'Dép.volet 2-Animation-2024-2025'!H76</f>
        <v>-</v>
      </c>
      <c r="K39" s="159" t="str">
        <f>'Dép.volet 2-Animation-2024-2025'!I76</f>
        <v>-</v>
      </c>
      <c r="L39" s="159" t="str">
        <f>'Dép.volet 2-Animation-2024-2025'!J76</f>
        <v>-</v>
      </c>
      <c r="M39" s="159" t="str">
        <f>'Dép.volet 2-Animation-2024-2025'!K76</f>
        <v>-</v>
      </c>
      <c r="N39" s="242" t="str">
        <f>'Dép.volet 2-Animation-2024-2025'!L76</f>
        <v>-</v>
      </c>
      <c r="S39" s="747" t="s">
        <v>43</v>
      </c>
      <c r="T39" s="748"/>
      <c r="U39" s="159">
        <f t="shared" ref="U39:AB39" si="21">G39</f>
        <v>0</v>
      </c>
      <c r="V39" s="159" t="str">
        <f t="shared" si="21"/>
        <v>-</v>
      </c>
      <c r="W39" s="159" t="str">
        <f t="shared" si="21"/>
        <v>-</v>
      </c>
      <c r="X39" s="159" t="str">
        <f t="shared" si="21"/>
        <v>-</v>
      </c>
      <c r="Y39" s="159" t="str">
        <f t="shared" si="21"/>
        <v>-</v>
      </c>
      <c r="Z39" s="159" t="str">
        <f t="shared" si="21"/>
        <v>-</v>
      </c>
      <c r="AA39" s="159" t="str">
        <f t="shared" si="21"/>
        <v>-</v>
      </c>
      <c r="AB39" s="242" t="str">
        <f t="shared" si="21"/>
        <v>-</v>
      </c>
    </row>
    <row r="40" spans="1:33" x14ac:dyDescent="0.2">
      <c r="E40" s="749" t="s">
        <v>68</v>
      </c>
      <c r="F40" s="750"/>
      <c r="G40" s="246">
        <f>SUMIF($E$5:$E$34,G39,$K$5:$K$34)</f>
        <v>0</v>
      </c>
      <c r="H40" s="246">
        <f t="shared" ref="H40:N40" si="22">SUMIF($E$5:$E$34,H39,$K$5:$K$34)</f>
        <v>0</v>
      </c>
      <c r="I40" s="246">
        <f t="shared" si="22"/>
        <v>0</v>
      </c>
      <c r="J40" s="246">
        <f t="shared" si="22"/>
        <v>0</v>
      </c>
      <c r="K40" s="246">
        <f t="shared" si="22"/>
        <v>0</v>
      </c>
      <c r="L40" s="246">
        <f t="shared" si="22"/>
        <v>0</v>
      </c>
      <c r="M40" s="246">
        <f t="shared" si="22"/>
        <v>0</v>
      </c>
      <c r="N40" s="325">
        <f t="shared" si="22"/>
        <v>0</v>
      </c>
      <c r="S40" s="749" t="s">
        <v>68</v>
      </c>
      <c r="T40" s="750"/>
      <c r="U40" s="246">
        <f t="shared" ref="U40:AB40" si="23">SUMIF($E$5:$E$34,U39,$Y$5:$Y$34)</f>
        <v>0</v>
      </c>
      <c r="V40" s="246">
        <f t="shared" si="23"/>
        <v>0</v>
      </c>
      <c r="W40" s="246">
        <f t="shared" si="23"/>
        <v>0</v>
      </c>
      <c r="X40" s="246">
        <f t="shared" si="23"/>
        <v>0</v>
      </c>
      <c r="Y40" s="246">
        <f t="shared" si="23"/>
        <v>0</v>
      </c>
      <c r="Z40" s="246">
        <f t="shared" si="23"/>
        <v>0</v>
      </c>
      <c r="AA40" s="246">
        <f t="shared" si="23"/>
        <v>0</v>
      </c>
      <c r="AB40" s="325">
        <f t="shared" si="23"/>
        <v>0</v>
      </c>
    </row>
    <row r="41" spans="1:33" x14ac:dyDescent="0.2">
      <c r="A41" s="37"/>
      <c r="B41" s="37"/>
      <c r="C41" s="37"/>
      <c r="D41" s="37"/>
      <c r="E41" s="734" t="s">
        <v>67</v>
      </c>
      <c r="F41" s="735"/>
      <c r="G41" s="163">
        <f>SUMIF($E$5:$E$34,G39,$L$5:$L$34)</f>
        <v>0</v>
      </c>
      <c r="H41" s="163">
        <f t="shared" ref="H41:N41" si="24">SUMIF($E$5:$E$34,H39,$L$5:$L$34)</f>
        <v>0</v>
      </c>
      <c r="I41" s="163">
        <f t="shared" si="24"/>
        <v>0</v>
      </c>
      <c r="J41" s="163">
        <f t="shared" si="24"/>
        <v>0</v>
      </c>
      <c r="K41" s="163">
        <f t="shared" si="24"/>
        <v>0</v>
      </c>
      <c r="L41" s="163">
        <f t="shared" si="24"/>
        <v>0</v>
      </c>
      <c r="M41" s="163">
        <f t="shared" si="24"/>
        <v>0</v>
      </c>
      <c r="N41" s="326">
        <f t="shared" si="24"/>
        <v>0</v>
      </c>
      <c r="O41" s="323"/>
      <c r="Q41" s="37"/>
      <c r="R41" s="37"/>
      <c r="S41" s="734" t="s">
        <v>67</v>
      </c>
      <c r="T41" s="735"/>
      <c r="U41" s="163">
        <f t="shared" ref="U41:AB41" si="25">SUMIF($E$5:$E$34,U39,$Z$5:$Z$34)</f>
        <v>0</v>
      </c>
      <c r="V41" s="163">
        <f t="shared" si="25"/>
        <v>0</v>
      </c>
      <c r="W41" s="163">
        <f t="shared" si="25"/>
        <v>0</v>
      </c>
      <c r="X41" s="163">
        <f t="shared" si="25"/>
        <v>0</v>
      </c>
      <c r="Y41" s="163">
        <f t="shared" si="25"/>
        <v>0</v>
      </c>
      <c r="Z41" s="163">
        <f t="shared" si="25"/>
        <v>0</v>
      </c>
      <c r="AA41" s="163">
        <f t="shared" si="25"/>
        <v>0</v>
      </c>
      <c r="AB41" s="326">
        <f t="shared" si="25"/>
        <v>0</v>
      </c>
      <c r="AC41" s="323"/>
    </row>
    <row r="42" spans="1:33" x14ac:dyDescent="0.2">
      <c r="A42" s="378"/>
      <c r="B42" s="378"/>
      <c r="C42" s="378"/>
      <c r="D42" s="378"/>
      <c r="E42" s="734" t="s">
        <v>66</v>
      </c>
      <c r="F42" s="735"/>
      <c r="G42" s="163">
        <f>SUMIF($E$5:$E$34,G39,$M$5:$M$34)</f>
        <v>0</v>
      </c>
      <c r="H42" s="163">
        <f t="shared" ref="H42:N42" si="26">SUMIF($E$5:$E$34,H39,$M$5:$M$34)</f>
        <v>0</v>
      </c>
      <c r="I42" s="163">
        <f t="shared" si="26"/>
        <v>0</v>
      </c>
      <c r="J42" s="163">
        <f t="shared" si="26"/>
        <v>0</v>
      </c>
      <c r="K42" s="163">
        <f t="shared" si="26"/>
        <v>0</v>
      </c>
      <c r="L42" s="163">
        <f t="shared" si="26"/>
        <v>0</v>
      </c>
      <c r="M42" s="163">
        <f t="shared" si="26"/>
        <v>0</v>
      </c>
      <c r="N42" s="326">
        <f t="shared" si="26"/>
        <v>0</v>
      </c>
      <c r="O42" s="324"/>
      <c r="Q42" s="378"/>
      <c r="R42" s="378"/>
      <c r="S42" s="734" t="s">
        <v>66</v>
      </c>
      <c r="T42" s="735"/>
      <c r="U42" s="163">
        <f t="shared" ref="U42:AB42" si="27">SUMIF($E$5:$E$34,U39,$AA$5:$AA$34)</f>
        <v>0</v>
      </c>
      <c r="V42" s="163">
        <f t="shared" si="27"/>
        <v>0</v>
      </c>
      <c r="W42" s="163">
        <f t="shared" si="27"/>
        <v>0</v>
      </c>
      <c r="X42" s="163">
        <f t="shared" si="27"/>
        <v>0</v>
      </c>
      <c r="Y42" s="163">
        <f t="shared" si="27"/>
        <v>0</v>
      </c>
      <c r="Z42" s="163">
        <f t="shared" si="27"/>
        <v>0</v>
      </c>
      <c r="AA42" s="163">
        <f t="shared" si="27"/>
        <v>0</v>
      </c>
      <c r="AB42" s="326">
        <f t="shared" si="27"/>
        <v>0</v>
      </c>
      <c r="AC42" s="324"/>
    </row>
    <row r="43" spans="1:33" x14ac:dyDescent="0.2">
      <c r="A43" s="18"/>
      <c r="B43" s="18"/>
      <c r="C43" s="18"/>
      <c r="D43" s="18"/>
      <c r="E43" s="751" t="s">
        <v>65</v>
      </c>
      <c r="F43" s="752"/>
      <c r="G43" s="167">
        <f>SUM(N12:N14,N22:N24,N32:N34)</f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327">
        <v>0</v>
      </c>
      <c r="O43" s="176"/>
      <c r="Q43" s="18"/>
      <c r="R43" s="18"/>
      <c r="S43" s="751" t="s">
        <v>65</v>
      </c>
      <c r="T43" s="752"/>
      <c r="U43" s="167">
        <f>SUM(AB12:AB14,AB22:AB24,AB32:AB34)</f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327">
        <v>0</v>
      </c>
      <c r="AC43" s="176"/>
    </row>
    <row r="44" spans="1:33" x14ac:dyDescent="0.2">
      <c r="A44" s="379"/>
      <c r="B44" s="379"/>
      <c r="C44" s="379"/>
      <c r="D44" s="379"/>
      <c r="E44" s="753" t="s">
        <v>74</v>
      </c>
      <c r="F44" s="754"/>
      <c r="G44" s="239">
        <f>SUM(G40:G43)</f>
        <v>0</v>
      </c>
      <c r="H44" s="240">
        <f>SUM(H40:H43)</f>
        <v>0</v>
      </c>
      <c r="I44" s="240">
        <f t="shared" ref="I44:N44" si="28">SUM(I40:I43)</f>
        <v>0</v>
      </c>
      <c r="J44" s="240">
        <f t="shared" si="28"/>
        <v>0</v>
      </c>
      <c r="K44" s="240">
        <f>SUM(K40:K43)</f>
        <v>0</v>
      </c>
      <c r="L44" s="240">
        <f t="shared" si="28"/>
        <v>0</v>
      </c>
      <c r="M44" s="240">
        <f t="shared" si="28"/>
        <v>0</v>
      </c>
      <c r="N44" s="241">
        <f t="shared" si="28"/>
        <v>0</v>
      </c>
      <c r="O44" s="295"/>
      <c r="Q44" s="379"/>
      <c r="R44" s="379"/>
      <c r="S44" s="753" t="s">
        <v>74</v>
      </c>
      <c r="T44" s="754"/>
      <c r="U44" s="239">
        <f>SUM(U40:U43)</f>
        <v>0</v>
      </c>
      <c r="V44" s="240">
        <f>SUM(V40:V43)</f>
        <v>0</v>
      </c>
      <c r="W44" s="240">
        <f t="shared" ref="W44:X44" si="29">SUM(W40:W43)</f>
        <v>0</v>
      </c>
      <c r="X44" s="240">
        <f t="shared" si="29"/>
        <v>0</v>
      </c>
      <c r="Y44" s="240">
        <f>SUM(Y40:Y43)</f>
        <v>0</v>
      </c>
      <c r="Z44" s="240">
        <f t="shared" ref="Z44:AB44" si="30">SUM(Z40:Z43)</f>
        <v>0</v>
      </c>
      <c r="AA44" s="240">
        <f t="shared" si="30"/>
        <v>0</v>
      </c>
      <c r="AB44" s="241">
        <f t="shared" si="30"/>
        <v>0</v>
      </c>
      <c r="AC44" s="295"/>
    </row>
    <row r="45" spans="1:33" x14ac:dyDescent="0.2">
      <c r="A45" s="379"/>
      <c r="B45" s="379"/>
      <c r="C45" s="379"/>
      <c r="D45" s="379"/>
      <c r="E45" s="755" t="s">
        <v>178</v>
      </c>
      <c r="F45" s="756"/>
      <c r="G45" s="249">
        <f>SUMIF(E5:E11,G39,AG5:AG11)+SUM(AG12:AG14)+SUMIF(E15:E21,G39,AG15:AG21)+SUM(AG22:AG24)+SUMIF(E25:E31,G39,AG25:AG31)+SUM(AG32:AG34)</f>
        <v>0</v>
      </c>
      <c r="H45" s="249">
        <f>SUMIF(E5:E11,H39,AG5:AG11)+SUMIF(E15:E21,H39,AG15:AG21)+SUMIF(E25:E31,H39,AG25:AG31)</f>
        <v>0</v>
      </c>
      <c r="I45" s="249">
        <f>SUMIF(E5:E11,I39,AG5:AG11)+SUMIF(E15:E21,I39,AG15:AG21)+SUMIF(E25:E31,I39,AG25:AG31)</f>
        <v>0</v>
      </c>
      <c r="J45" s="249">
        <f>SUMIF(E5:E11,J39,AG5:AG11)+SUMIF(E15:E21,J39,AG15:AG21)+SUMIF(E25:E31,J39,AG25:AG31)</f>
        <v>0</v>
      </c>
      <c r="K45" s="249">
        <f>SUMIF(E5:E11,K39,AG5:AG11)+SUMIF(E15:E21,K39,AG15:AG21)+SUMIF(E25:E31,K39,AG25:AG31)</f>
        <v>0</v>
      </c>
      <c r="L45" s="249">
        <f>SUMIF(E5:E11,L39,AG5:AG11)+SUMIF(E15:E21,L39,AG15:AG21)+SUMIF(E25:E31,L39,AG25:AG31)</f>
        <v>0</v>
      </c>
      <c r="M45" s="249">
        <f>SUMIF(E5:E11,M39,AG5:AG11)+SUMIF(E15:E21,M39,AG15:AG21)+SUMIF(E25:E31,M39,AG25:AG31)</f>
        <v>0</v>
      </c>
      <c r="N45" s="250">
        <f>SUMIF(E5:E11,N39,AG5:AG11)+SUMIF(E15:E21,N39,AG15:AG21)+SUMIF(E25:E31,N39,AG25:AG31)</f>
        <v>0</v>
      </c>
      <c r="O45" s="295"/>
      <c r="Q45" s="379"/>
      <c r="R45" s="379"/>
      <c r="S45" s="755" t="s">
        <v>178</v>
      </c>
      <c r="T45" s="756"/>
      <c r="U45" s="249">
        <f>IF(AB35=0,0,((SUMIF(S5:S11,U39,AB5:AB11)+SUM(AB12:AB14))*AD5/SUM(AB5:AB14)+((SUMIF(S15:S21,U39,AB15:AB21)+SUM(AB22:AB24))*AD15/SUM(AB15:AB24))+((SUMIF(S25:S31,U39,AB25:AB31)+SUM(AB32:AB34))*AD25/SUM(AB25:AB34))))</f>
        <v>0</v>
      </c>
      <c r="V45" s="249">
        <f>IF(AB35=0,0,((SUMIF($S$5:$S$11,V39,$AB$5:$AB$11))*$AD$5/SUM($AB$5:$AB$14)+((SUMIF($S$15:$S$21,V39,$AB$15:$AB$21))*$AD$15/SUM($AB$15:$AB$24))+((SUMIF($S$25:$S$31,V39,$AB$25:$AB$31))*$AD$25/SUM($AB$25:$AB$34))))</f>
        <v>0</v>
      </c>
      <c r="W45" s="249">
        <f>IF(AB35=0,0,((SUMIF($S$5:$S$11,W39,$AB$5:$AB$11))*$AD$5/SUM($AB$5:$AB$14)+((SUMIF($S$15:$S$21,W39,$AB$15:$AB$21))*$AD$15/SUM($AB$15:$AB$24))+((SUMIF($S$25:$S$31,W39,$AB$25:$AB$31))*$AD$25/SUM($AB$25:$AB$34))))</f>
        <v>0</v>
      </c>
      <c r="X45" s="249">
        <f>IF(AB35=0,0,((SUMIF($S$5:$S$11,X39,$AB$5:$AB$11))*$AD$5/SUM($AB$5:$AB$14)+((SUMIF($S$15:$S$21,X39,$AB$15:$AB$21))*$AD$15/SUM($AB$15:$AB$24))+((SUMIF($S$25:$S$31,X39,$AB$25:$AB$31))*$AD$25/SUM($AB$25:$AB$34))))</f>
        <v>0</v>
      </c>
      <c r="Y45" s="249">
        <f>IF(AB35=0,0,((SUMIF($S$5:$S$11,Y39,$AB$5:$AB$11))*$AD$5/SUM($AB$5:$AB$14)+((SUMIF($S$15:$S$21,Y39,$AB$15:$AB$21))*$AD$15/SUM($AB$15:$AB$24))+((SUMIF($S$25:$S$31,Y39,$AB$25:$AB$31))*$AD$25/SUM($AB$25:$AB$34))))</f>
        <v>0</v>
      </c>
      <c r="Z45" s="249">
        <f>IF(AB35=0,0,((SUMIF($S$5:$S$11,Z39,$AB$5:$AB$11))*$AD$5/SUM($AB$5:$AB$14)+((SUMIF($S$15:$S$21,Z39,$AB$15:$AB$21))*$AD$15/SUM($AB$15:$AB$24))+((SUMIF($S$25:$S$31,Z39,$AB$25:$AB$31))*$AD$25/SUM($AB$25:$AB$34))))</f>
        <v>0</v>
      </c>
      <c r="AA45" s="249">
        <f>IF(AB35=0,0,((SUMIF($S$5:$S$11,AA39,$AB$5:$AB$11))*$AD$5/SUM($AB$5:$AB$14)+((SUMIF($S$15:$S$21,AA39,$AB$15:$AB$21))*$AD$15/SUM($AB$15:$AB$24))+((SUMIF($S$25:$S$31,AA39,$AB$25:$AB$31))*$AD$25/SUM($AB$25:$AB$34))))</f>
        <v>0</v>
      </c>
      <c r="AB45" s="250">
        <f>IF(AB35=0,0,((SUMIF($S$5:$S$11,AB39,$AB$5:$AB$11))*$AD$5/SUM($AB$5:$AB$14)+((SUMIF($S$15:$S$21,AB39,$AB$15:$AB$21))*$AD$15/SUM($AB$15:$AB$24))+((SUMIF($S$25:$S$31,AB39,$AB$25:$AB$31))*$AD$25/SUM($AB$25:$AB$34))))</f>
        <v>0</v>
      </c>
      <c r="AC45" s="295"/>
    </row>
    <row r="46" spans="1:33" x14ac:dyDescent="0.2">
      <c r="A46" s="379"/>
      <c r="B46" s="379"/>
      <c r="C46" s="379"/>
      <c r="D46" s="379"/>
      <c r="E46" s="379"/>
      <c r="F46" s="379"/>
      <c r="G46" s="379"/>
      <c r="H46" s="380"/>
      <c r="I46" s="380"/>
      <c r="J46" s="176"/>
      <c r="K46" s="176"/>
      <c r="L46" s="176"/>
      <c r="M46" s="176"/>
      <c r="N46" s="296"/>
      <c r="O46" s="176"/>
      <c r="Q46" s="379"/>
      <c r="R46" s="379"/>
      <c r="S46" s="379"/>
      <c r="T46" s="379"/>
      <c r="U46" s="379"/>
      <c r="V46" s="380"/>
      <c r="W46" s="380"/>
      <c r="X46" s="176"/>
      <c r="Y46" s="176"/>
      <c r="Z46" s="176"/>
      <c r="AA46" s="176"/>
      <c r="AB46" s="296"/>
      <c r="AC46" s="176"/>
    </row>
    <row r="47" spans="1:33" x14ac:dyDescent="0.2">
      <c r="A47" s="511"/>
      <c r="B47" s="512"/>
      <c r="C47" s="512"/>
      <c r="D47" s="512"/>
      <c r="E47" s="512"/>
      <c r="F47" s="513"/>
      <c r="G47" s="379"/>
      <c r="H47" s="380"/>
      <c r="I47" s="380"/>
      <c r="J47" s="176"/>
      <c r="K47" s="176"/>
      <c r="L47" s="176"/>
      <c r="M47" s="176"/>
      <c r="N47" s="296"/>
      <c r="O47" s="176"/>
      <c r="Q47" s="379"/>
      <c r="R47" s="379"/>
      <c r="S47" s="379"/>
      <c r="T47" s="379"/>
      <c r="U47" s="379"/>
      <c r="V47" s="380"/>
      <c r="W47" s="380"/>
      <c r="X47" s="176"/>
      <c r="Y47" s="176"/>
      <c r="Z47" s="176"/>
      <c r="AA47" s="176"/>
      <c r="AB47" s="296"/>
      <c r="AC47" s="176"/>
    </row>
    <row r="48" spans="1:33" ht="18.75" customHeight="1" x14ac:dyDescent="0.2">
      <c r="A48" s="514" t="s">
        <v>237</v>
      </c>
      <c r="B48" s="9" t="s">
        <v>242</v>
      </c>
      <c r="C48" s="18"/>
      <c r="D48" s="18"/>
      <c r="E48" s="379"/>
      <c r="F48" s="515"/>
      <c r="G48" s="379"/>
      <c r="H48" s="380"/>
      <c r="I48" s="380"/>
      <c r="J48" s="176"/>
      <c r="K48" s="176"/>
      <c r="L48" s="176"/>
      <c r="M48" s="176"/>
      <c r="N48" s="296"/>
      <c r="O48" s="176"/>
      <c r="Q48" s="379"/>
      <c r="R48" s="379"/>
      <c r="S48" s="379"/>
      <c r="T48" s="379"/>
      <c r="U48" s="379"/>
      <c r="V48" s="380"/>
      <c r="W48" s="380"/>
      <c r="X48" s="176"/>
      <c r="Y48" s="176"/>
      <c r="Z48" s="176"/>
      <c r="AA48" s="176"/>
      <c r="AB48" s="296"/>
      <c r="AC48" s="176"/>
    </row>
    <row r="49" spans="1:32" ht="18.75" customHeight="1" x14ac:dyDescent="0.2">
      <c r="A49" s="514" t="s">
        <v>239</v>
      </c>
      <c r="B49" s="9" t="s">
        <v>242</v>
      </c>
      <c r="C49" s="18"/>
      <c r="D49" s="379"/>
      <c r="E49" s="379"/>
      <c r="F49" s="515"/>
      <c r="G49" s="379"/>
      <c r="H49" s="380"/>
      <c r="I49" s="380"/>
      <c r="J49" s="176"/>
      <c r="K49" s="176"/>
      <c r="L49" s="176"/>
      <c r="M49" s="176"/>
      <c r="N49" s="296"/>
      <c r="O49" s="176"/>
      <c r="Q49" s="379"/>
      <c r="R49" s="379"/>
      <c r="S49" s="379"/>
      <c r="T49" s="379"/>
      <c r="U49" s="379"/>
      <c r="V49" s="380"/>
      <c r="W49" s="380"/>
      <c r="X49" s="176"/>
      <c r="Y49" s="176"/>
      <c r="Z49" s="176"/>
      <c r="AA49" s="176"/>
      <c r="AB49" s="296"/>
      <c r="AC49" s="176"/>
    </row>
    <row r="50" spans="1:32" ht="18.75" customHeight="1" x14ac:dyDescent="0.2">
      <c r="A50" s="514" t="s">
        <v>240</v>
      </c>
      <c r="B50" s="9" t="s">
        <v>242</v>
      </c>
      <c r="C50" s="18"/>
      <c r="D50" s="381"/>
      <c r="E50" s="381"/>
      <c r="F50" s="516"/>
      <c r="G50" s="391"/>
      <c r="H50" s="382"/>
      <c r="I50" s="382"/>
      <c r="J50" s="296"/>
      <c r="K50" s="296"/>
      <c r="L50" s="296"/>
      <c r="M50" s="296"/>
      <c r="N50" s="296"/>
      <c r="O50" s="296"/>
      <c r="Q50" s="381"/>
      <c r="R50" s="381"/>
      <c r="S50" s="381"/>
      <c r="T50" s="381"/>
      <c r="U50" s="381"/>
      <c r="V50" s="382"/>
      <c r="W50" s="382"/>
      <c r="X50" s="296"/>
      <c r="Y50" s="296"/>
      <c r="Z50" s="296"/>
      <c r="AA50" s="296"/>
      <c r="AB50" s="296"/>
      <c r="AC50" s="296"/>
    </row>
    <row r="51" spans="1:32" ht="18.75" customHeight="1" x14ac:dyDescent="0.2">
      <c r="A51" s="514" t="s">
        <v>241</v>
      </c>
      <c r="B51" s="18"/>
      <c r="C51" s="18"/>
      <c r="E51" s="521" t="s">
        <v>238</v>
      </c>
      <c r="F51" s="517"/>
      <c r="M51" s="393"/>
      <c r="N51" s="393"/>
      <c r="O51" s="392"/>
      <c r="P51" s="392"/>
      <c r="Q51" s="394"/>
      <c r="R51" s="394"/>
      <c r="S51" s="394"/>
      <c r="T51" s="394"/>
      <c r="U51" s="394"/>
      <c r="V51" s="395"/>
      <c r="W51" s="395"/>
      <c r="X51" s="395"/>
      <c r="Y51" s="395"/>
      <c r="Z51" s="394"/>
      <c r="AA51" s="394"/>
      <c r="AB51" s="396"/>
      <c r="AC51" s="394"/>
      <c r="AD51" s="394"/>
      <c r="AE51" s="392"/>
      <c r="AF51" s="623"/>
    </row>
    <row r="52" spans="1:32" x14ac:dyDescent="0.2">
      <c r="A52" s="514"/>
      <c r="B52" s="18"/>
      <c r="C52" s="18"/>
      <c r="F52" s="517"/>
      <c r="M52" s="393"/>
      <c r="N52" s="393"/>
      <c r="O52" s="392"/>
      <c r="P52" s="392"/>
      <c r="Q52" s="394"/>
      <c r="R52" s="394"/>
      <c r="S52" s="394"/>
      <c r="T52" s="394"/>
      <c r="U52" s="394"/>
      <c r="V52" s="395"/>
      <c r="W52" s="395"/>
      <c r="X52" s="395"/>
      <c r="Y52" s="395"/>
      <c r="Z52" s="394"/>
      <c r="AA52" s="394"/>
      <c r="AB52" s="396"/>
      <c r="AC52" s="394"/>
      <c r="AD52" s="394"/>
      <c r="AE52" s="392"/>
      <c r="AF52" s="623"/>
    </row>
    <row r="53" spans="1:32" x14ac:dyDescent="0.2">
      <c r="A53" s="514"/>
      <c r="B53" s="18"/>
      <c r="C53" s="18"/>
      <c r="F53" s="517"/>
      <c r="M53" s="393"/>
      <c r="N53" s="393"/>
      <c r="O53" s="392"/>
      <c r="P53" s="392"/>
      <c r="Q53" s="394"/>
      <c r="R53" s="394"/>
      <c r="S53" s="394"/>
      <c r="T53" s="394"/>
      <c r="U53" s="394"/>
      <c r="V53" s="395"/>
      <c r="W53" s="395"/>
      <c r="X53" s="395"/>
      <c r="Y53" s="395"/>
      <c r="Z53" s="394"/>
      <c r="AA53" s="394"/>
      <c r="AB53" s="396"/>
      <c r="AC53" s="394"/>
      <c r="AD53" s="394"/>
      <c r="AE53" s="392"/>
      <c r="AF53" s="623"/>
    </row>
    <row r="54" spans="1:32" x14ac:dyDescent="0.2">
      <c r="A54" s="514"/>
      <c r="B54" s="18"/>
      <c r="C54" s="18"/>
      <c r="F54" s="517"/>
      <c r="M54" s="393"/>
      <c r="N54" s="393"/>
      <c r="O54" s="392"/>
      <c r="P54" s="392"/>
      <c r="Q54" s="394"/>
      <c r="R54" s="394"/>
      <c r="S54" s="394"/>
      <c r="T54" s="394"/>
      <c r="U54" s="394"/>
      <c r="V54" s="395"/>
      <c r="W54" s="395"/>
      <c r="X54" s="395"/>
      <c r="Y54" s="395"/>
      <c r="Z54" s="394"/>
      <c r="AA54" s="394"/>
      <c r="AB54" s="396"/>
      <c r="AC54" s="394"/>
      <c r="AD54" s="394"/>
      <c r="AE54" s="392"/>
      <c r="AF54" s="623"/>
    </row>
    <row r="55" spans="1:32" x14ac:dyDescent="0.2">
      <c r="A55" s="514"/>
      <c r="B55" s="18"/>
      <c r="C55" s="18"/>
      <c r="F55" s="517"/>
      <c r="M55" s="393"/>
      <c r="N55" s="393"/>
      <c r="O55" s="392"/>
      <c r="P55" s="392"/>
      <c r="Q55" s="394"/>
      <c r="R55" s="394"/>
      <c r="S55" s="394"/>
      <c r="T55" s="394"/>
      <c r="U55" s="394"/>
      <c r="V55" s="395"/>
      <c r="W55" s="395"/>
      <c r="X55" s="395"/>
      <c r="Y55" s="395"/>
      <c r="Z55" s="394"/>
      <c r="AA55" s="394"/>
      <c r="AB55" s="396"/>
      <c r="AC55" s="394"/>
      <c r="AD55" s="394"/>
      <c r="AE55" s="392"/>
      <c r="AF55" s="623"/>
    </row>
    <row r="56" spans="1:32" x14ac:dyDescent="0.2">
      <c r="A56" s="518"/>
      <c r="B56" s="519"/>
      <c r="C56" s="519"/>
      <c r="D56" s="519"/>
      <c r="E56" s="519"/>
      <c r="F56" s="520"/>
      <c r="M56" s="393"/>
      <c r="N56" s="393"/>
      <c r="O56" s="392"/>
      <c r="P56" s="392"/>
      <c r="Q56" s="394"/>
      <c r="R56" s="394"/>
      <c r="S56" s="397"/>
      <c r="T56" s="397"/>
      <c r="U56" s="397"/>
      <c r="V56" s="398"/>
      <c r="W56" s="398"/>
      <c r="X56" s="399"/>
      <c r="Y56" s="399"/>
      <c r="Z56" s="399"/>
      <c r="AA56" s="394"/>
      <c r="AB56" s="396"/>
      <c r="AC56" s="394"/>
      <c r="AD56" s="394"/>
      <c r="AE56" s="392"/>
      <c r="AF56" s="623"/>
    </row>
    <row r="57" spans="1:32" x14ac:dyDescent="0.2">
      <c r="M57" s="393"/>
      <c r="N57" s="393"/>
      <c r="O57" s="392"/>
      <c r="P57" s="392"/>
      <c r="Q57" s="394"/>
      <c r="R57" s="394"/>
      <c r="S57" s="394"/>
      <c r="T57" s="394"/>
      <c r="U57" s="394"/>
      <c r="V57" s="395"/>
      <c r="W57" s="395"/>
      <c r="X57" s="395"/>
      <c r="Y57" s="395"/>
      <c r="Z57" s="394"/>
      <c r="AA57" s="394"/>
      <c r="AB57" s="396"/>
      <c r="AC57" s="394"/>
      <c r="AD57" s="394"/>
      <c r="AE57" s="392"/>
      <c r="AF57" s="623"/>
    </row>
    <row r="58" spans="1:32" x14ac:dyDescent="0.2">
      <c r="A58" s="383" t="s">
        <v>2</v>
      </c>
      <c r="B58" s="785">
        <f>Identification!E30</f>
        <v>0</v>
      </c>
      <c r="C58" s="786"/>
      <c r="Q58" s="394"/>
      <c r="R58" s="394"/>
      <c r="S58" s="381"/>
      <c r="T58" s="381"/>
      <c r="U58" s="381"/>
      <c r="V58" s="382"/>
      <c r="W58" s="382"/>
      <c r="X58" s="296"/>
      <c r="Y58" s="296"/>
      <c r="Z58" s="296"/>
    </row>
    <row r="59" spans="1:32" x14ac:dyDescent="0.2">
      <c r="A59" s="383" t="s">
        <v>3</v>
      </c>
      <c r="B59" s="787">
        <f>Identification!E31</f>
        <v>0</v>
      </c>
      <c r="C59" s="788"/>
      <c r="Q59" s="394"/>
      <c r="R59" s="394"/>
    </row>
  </sheetData>
  <sheetProtection password="B19B" sheet="1" selectLockedCells="1"/>
  <mergeCells count="53">
    <mergeCell ref="B58:C58"/>
    <mergeCell ref="B59:C59"/>
    <mergeCell ref="S44:T44"/>
    <mergeCell ref="S45:T45"/>
    <mergeCell ref="Q5:Q14"/>
    <mergeCell ref="Q15:Q24"/>
    <mergeCell ref="Q25:Q34"/>
    <mergeCell ref="R5:R14"/>
    <mergeCell ref="R15:R24"/>
    <mergeCell ref="R25:R34"/>
    <mergeCell ref="E43:F43"/>
    <mergeCell ref="E44:F44"/>
    <mergeCell ref="E45:F45"/>
    <mergeCell ref="S38:T38"/>
    <mergeCell ref="S43:T43"/>
    <mergeCell ref="O5:O14"/>
    <mergeCell ref="S41:T41"/>
    <mergeCell ref="S42:T42"/>
    <mergeCell ref="AC5:AC14"/>
    <mergeCell ref="AD5:AD14"/>
    <mergeCell ref="AC15:AC24"/>
    <mergeCell ref="AD15:AD24"/>
    <mergeCell ref="AC25:AC34"/>
    <mergeCell ref="AD25:AD34"/>
    <mergeCell ref="B5:B14"/>
    <mergeCell ref="A5:A14"/>
    <mergeCell ref="U38:AB38"/>
    <mergeCell ref="S39:T39"/>
    <mergeCell ref="S40:T40"/>
    <mergeCell ref="G38:N38"/>
    <mergeCell ref="E39:F39"/>
    <mergeCell ref="C5:C14"/>
    <mergeCell ref="P5:P14"/>
    <mergeCell ref="D5:D11"/>
    <mergeCell ref="D12:D14"/>
    <mergeCell ref="E40:F40"/>
    <mergeCell ref="O15:O24"/>
    <mergeCell ref="P15:P24"/>
    <mergeCell ref="A25:A34"/>
    <mergeCell ref="O25:O34"/>
    <mergeCell ref="E41:F41"/>
    <mergeCell ref="E42:F42"/>
    <mergeCell ref="B15:B24"/>
    <mergeCell ref="D15:D21"/>
    <mergeCell ref="E38:F38"/>
    <mergeCell ref="D22:D24"/>
    <mergeCell ref="B25:B34"/>
    <mergeCell ref="D25:D31"/>
    <mergeCell ref="P25:P34"/>
    <mergeCell ref="D32:D34"/>
    <mergeCell ref="C15:C24"/>
    <mergeCell ref="C25:C34"/>
    <mergeCell ref="A15:A24"/>
  </mergeCells>
  <dataValidations count="4">
    <dataValidation type="list" allowBlank="1" showInputMessage="1" showErrorMessage="1" sqref="E5:E11 E15:E21 E25:E31 S5:S11 S15:S21 S25:S31">
      <formula1>RefStructures</formula1>
    </dataValidation>
    <dataValidation type="list" allowBlank="1" showInputMessage="1" showErrorMessage="1" sqref="E12:E14 E22:E24 E32:E34 S12:S14 S22:S24 S32:S34">
      <formula1>RefPresta</formula1>
    </dataValidation>
    <dataValidation type="list" allowBlank="1" showInputMessage="1" showErrorMessage="1" sqref="T5:T11 T25:T31 T15:T21">
      <formula1>INDIRECT(AR5)</formula1>
    </dataValidation>
    <dataValidation type="list" allowBlank="1" showInputMessage="1" showErrorMessage="1" sqref="F25:F31 F15:F21 F5:F11">
      <formula1>INDIRECT(AF5)</formula1>
    </dataValidation>
  </dataValidations>
  <pageMargins left="0.23622047244094491" right="0.23622047244094491" top="0.39370078740157483" bottom="0.55118110236220474" header="0.31496062992125984" footer="0.31496062992125984"/>
  <pageSetup paperSize="9" scale="56" orientation="landscape" r:id="rId1"/>
  <headerFooter>
    <oddFooter>&amp;RPage 6/7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I48"/>
  <sheetViews>
    <sheetView workbookViewId="0">
      <selection activeCell="F5" sqref="F5"/>
    </sheetView>
  </sheetViews>
  <sheetFormatPr baseColWidth="10" defaultColWidth="11.42578125" defaultRowHeight="12.75" outlineLevelCol="1" x14ac:dyDescent="0.25"/>
  <cols>
    <col min="1" max="1" width="47" style="403" customWidth="1"/>
    <col min="2" max="4" width="12.42578125" style="403" customWidth="1"/>
    <col min="5" max="5" width="14" style="403" customWidth="1"/>
    <col min="6" max="6" width="20.28515625" style="403" customWidth="1"/>
    <col min="7" max="7" width="19.28515625" style="403" customWidth="1"/>
    <col min="8" max="8" width="11.42578125" style="403" bestFit="1" customWidth="1"/>
    <col min="9" max="9" width="13.140625" style="404" customWidth="1"/>
    <col min="10" max="12" width="12.42578125" style="404" customWidth="1"/>
    <col min="13" max="14" width="12.42578125" style="403" customWidth="1"/>
    <col min="15" max="15" width="12.42578125" style="405" customWidth="1"/>
    <col min="16" max="16" width="13.28515625" style="403" customWidth="1"/>
    <col min="17" max="17" width="12.7109375" style="403" customWidth="1"/>
    <col min="18" max="20" width="18.28515625" style="403" hidden="1" customWidth="1" outlineLevel="1"/>
    <col min="21" max="21" width="20.28515625" style="403" hidden="1" customWidth="1" outlineLevel="1"/>
    <col min="22" max="22" width="19.28515625" style="403" hidden="1" customWidth="1" outlineLevel="1"/>
    <col min="23" max="23" width="11.42578125" style="403" hidden="1" customWidth="1" outlineLevel="1"/>
    <col min="24" max="24" width="13.140625" style="404" hidden="1" customWidth="1" outlineLevel="1"/>
    <col min="25" max="27" width="12.42578125" style="404" hidden="1" customWidth="1" outlineLevel="1"/>
    <col min="28" max="29" width="12.42578125" style="403" hidden="1" customWidth="1" outlineLevel="1"/>
    <col min="30" max="30" width="12.42578125" style="405" hidden="1" customWidth="1" outlineLevel="1"/>
    <col min="31" max="31" width="13.7109375" style="403" hidden="1" customWidth="1" outlineLevel="1"/>
    <col min="32" max="32" width="12.7109375" style="403" hidden="1" customWidth="1" outlineLevel="1"/>
    <col min="33" max="33" width="10.140625" style="403" customWidth="1" collapsed="1"/>
    <col min="34" max="34" width="12.28515625" style="12" customWidth="1"/>
    <col min="35" max="16384" width="11.42578125" style="12"/>
  </cols>
  <sheetData>
    <row r="1" spans="1:35" x14ac:dyDescent="0.25">
      <c r="A1" s="343" t="s">
        <v>185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</row>
    <row r="2" spans="1:35" x14ac:dyDescent="0.25">
      <c r="AH2" s="403"/>
    </row>
    <row r="3" spans="1:35" ht="13.5" thickBot="1" x14ac:dyDescent="0.3">
      <c r="A3" s="39" t="s">
        <v>186</v>
      </c>
      <c r="AH3" s="403"/>
    </row>
    <row r="4" spans="1:35" ht="77.25" thickBot="1" x14ac:dyDescent="0.3">
      <c r="A4" s="348" t="s">
        <v>188</v>
      </c>
      <c r="B4" s="321" t="s">
        <v>245</v>
      </c>
      <c r="C4" s="321" t="s">
        <v>246</v>
      </c>
      <c r="D4" s="321" t="s">
        <v>247</v>
      </c>
      <c r="E4" s="321" t="s">
        <v>184</v>
      </c>
      <c r="F4" s="321" t="s">
        <v>172</v>
      </c>
      <c r="G4" s="321" t="s">
        <v>168</v>
      </c>
      <c r="H4" s="321" t="s">
        <v>169</v>
      </c>
      <c r="I4" s="321" t="s">
        <v>170</v>
      </c>
      <c r="J4" s="349" t="s">
        <v>46</v>
      </c>
      <c r="K4" s="350" t="s">
        <v>157</v>
      </c>
      <c r="L4" s="351" t="s">
        <v>144</v>
      </c>
      <c r="M4" s="321" t="s">
        <v>143</v>
      </c>
      <c r="N4" s="321" t="s">
        <v>152</v>
      </c>
      <c r="O4" s="321" t="s">
        <v>44</v>
      </c>
      <c r="P4" s="321" t="s">
        <v>85</v>
      </c>
      <c r="Q4" s="322" t="s">
        <v>173</v>
      </c>
      <c r="R4" s="321" t="s">
        <v>204</v>
      </c>
      <c r="S4" s="321" t="s">
        <v>205</v>
      </c>
      <c r="T4" s="321" t="s">
        <v>206</v>
      </c>
      <c r="U4" s="321" t="s">
        <v>172</v>
      </c>
      <c r="V4" s="321" t="s">
        <v>168</v>
      </c>
      <c r="W4" s="321" t="s">
        <v>169</v>
      </c>
      <c r="X4" s="321" t="s">
        <v>170</v>
      </c>
      <c r="Y4" s="349" t="s">
        <v>46</v>
      </c>
      <c r="Z4" s="350" t="s">
        <v>157</v>
      </c>
      <c r="AA4" s="351" t="s">
        <v>144</v>
      </c>
      <c r="AB4" s="321" t="s">
        <v>143</v>
      </c>
      <c r="AC4" s="321" t="s">
        <v>152</v>
      </c>
      <c r="AD4" s="321" t="s">
        <v>44</v>
      </c>
      <c r="AE4" s="321" t="s">
        <v>85</v>
      </c>
      <c r="AF4" s="322" t="s">
        <v>173</v>
      </c>
    </row>
    <row r="5" spans="1:35" ht="12.75" customHeight="1" x14ac:dyDescent="0.25">
      <c r="A5" s="814" t="s">
        <v>218</v>
      </c>
      <c r="B5" s="792" t="s">
        <v>57</v>
      </c>
      <c r="C5" s="792" t="s">
        <v>57</v>
      </c>
      <c r="D5" s="792" t="s">
        <v>57</v>
      </c>
      <c r="E5" s="792" t="s">
        <v>258</v>
      </c>
      <c r="F5" s="310"/>
      <c r="G5" s="311"/>
      <c r="H5" s="312"/>
      <c r="I5" s="312"/>
      <c r="J5" s="352" t="str">
        <f>IF(G5="","",VLOOKUP(G5,'Intervenants et coûts-j'!$C$15:$F$45,3,FALSE))</f>
        <v/>
      </c>
      <c r="K5" s="353" t="str">
        <f>IF(G5="","",VLOOKUP(G5,'Intervenants et coûts-j'!$C$15:$F$45,4,FALSE))</f>
        <v/>
      </c>
      <c r="L5" s="353" t="str">
        <f>IF(H5="","",K5*H5)</f>
        <v/>
      </c>
      <c r="M5" s="353" t="str">
        <f>IF(F5="","",IF(VLOOKUP(F5,'Intervenants et coûts-j'!$B$4:$E$12,4,FALSE)="Oui",L5*0.15,0))</f>
        <v/>
      </c>
      <c r="N5" s="353" t="str">
        <f>IF(I5="","",K5*I5*0.1)</f>
        <v/>
      </c>
      <c r="O5" s="354">
        <f>IF(K5="",0,SUM(N5,M5,L5))</f>
        <v>0</v>
      </c>
      <c r="P5" s="812" t="s">
        <v>207</v>
      </c>
      <c r="Q5" s="761">
        <f>MIN(P5,SUM(O5:O11))</f>
        <v>0</v>
      </c>
      <c r="R5" s="819" t="s">
        <v>57</v>
      </c>
      <c r="S5" s="819" t="s">
        <v>57</v>
      </c>
      <c r="T5" s="819" t="s">
        <v>57</v>
      </c>
      <c r="U5" s="329"/>
      <c r="V5" s="334"/>
      <c r="W5" s="337"/>
      <c r="X5" s="337"/>
      <c r="Y5" s="352" t="str">
        <f>IF(V5="","",VLOOKUP(V5,'Intervenants et coûts-j'!$C$15:$F$45,3,FALSE))</f>
        <v/>
      </c>
      <c r="Z5" s="353" t="str">
        <f>IF(V5="","",VLOOKUP(V5,'Intervenants et coûts-j'!$C$15:$F$45,4,FALSE))</f>
        <v/>
      </c>
      <c r="AA5" s="353" t="str">
        <f>IF(W5="","",Z5*W5)</f>
        <v/>
      </c>
      <c r="AB5" s="353" t="str">
        <f>IF(U5="","",IF(VLOOKUP(U5,'Intervenants et coûts-j'!$B$4:$E$12,4,FALSE)="Oui",AA5*0.15,0))</f>
        <v/>
      </c>
      <c r="AC5" s="353" t="str">
        <f>IF(X5="","",Z5*X5*0.1)</f>
        <v/>
      </c>
      <c r="AD5" s="354">
        <f>IF(Z5="",0,AC5+AB5+AA5)</f>
        <v>0</v>
      </c>
      <c r="AE5" s="812" t="s">
        <v>207</v>
      </c>
      <c r="AF5" s="761">
        <f>MIN(AE5,SUM(AD5:AD11))</f>
        <v>0</v>
      </c>
      <c r="AH5" s="406" t="e">
        <f>"ListeIntervenants"&amp;VLOOKUP(F5,'Intervenants et coûts-j'!$B$5:$C$12,2,FALSE)</f>
        <v>#N/A</v>
      </c>
      <c r="AI5" s="618">
        <f>O5</f>
        <v>0</v>
      </c>
    </row>
    <row r="6" spans="1:35" ht="15" customHeight="1" x14ac:dyDescent="0.25">
      <c r="A6" s="815"/>
      <c r="B6" s="765"/>
      <c r="C6" s="765"/>
      <c r="D6" s="765"/>
      <c r="E6" s="765"/>
      <c r="F6" s="299"/>
      <c r="G6" s="211"/>
      <c r="H6" s="305"/>
      <c r="I6" s="305"/>
      <c r="J6" s="357" t="str">
        <f>IF(G6="","",VLOOKUP(G6,'Intervenants et coûts-j'!$C$15:$F$45,3,FALSE))</f>
        <v/>
      </c>
      <c r="K6" s="358" t="str">
        <f>IF(G6="","",VLOOKUP(G6,'Intervenants et coûts-j'!$C$15:$F$45,4,FALSE))</f>
        <v/>
      </c>
      <c r="L6" s="358" t="str">
        <f t="shared" ref="L6:L11" si="0">IF(H6="","",K6*H6)</f>
        <v/>
      </c>
      <c r="M6" s="358" t="str">
        <f>IF(F6="","",IF(VLOOKUP(F6,'Intervenants et coûts-j'!$B$4:$E$12,4,FALSE)="Oui",L6*0.15,0))</f>
        <v/>
      </c>
      <c r="N6" s="358" t="str">
        <f t="shared" ref="N6:N11" si="1">IF(I6="","",K6*I6*0.1)</f>
        <v/>
      </c>
      <c r="O6" s="359">
        <f t="shared" ref="O6:O11" si="2">IF(K6="",0,SUM(N6,M6,L6))</f>
        <v>0</v>
      </c>
      <c r="P6" s="813"/>
      <c r="Q6" s="762"/>
      <c r="R6" s="820"/>
      <c r="S6" s="820"/>
      <c r="T6" s="820"/>
      <c r="U6" s="330"/>
      <c r="V6" s="335"/>
      <c r="W6" s="338"/>
      <c r="X6" s="338"/>
      <c r="Y6" s="357" t="str">
        <f>IF(V6="","",VLOOKUP(V6,'Intervenants et coûts-j'!$C$15:$F$45,3,FALSE))</f>
        <v/>
      </c>
      <c r="Z6" s="358" t="str">
        <f>IF(V6="","",VLOOKUP(V6,'Intervenants et coûts-j'!$C$15:$F$45,4,FALSE))</f>
        <v/>
      </c>
      <c r="AA6" s="358" t="str">
        <f t="shared" ref="AA6:AA11" si="3">IF(W6="","",Z6*W6)</f>
        <v/>
      </c>
      <c r="AB6" s="358" t="str">
        <f>IF(U6="","",IF(VLOOKUP(U6,'Intervenants et coûts-j'!$B$4:$E$12,4,FALSE)="Oui",AA6*0.15,0))</f>
        <v/>
      </c>
      <c r="AC6" s="358" t="str">
        <f t="shared" ref="AC6:AC11" si="4">IF(X6="","",Z6*X6*0.1)</f>
        <v/>
      </c>
      <c r="AD6" s="359">
        <f t="shared" ref="AD6:AD11" si="5">IF(Z6="",0,AC6+AB6+AA6)</f>
        <v>0</v>
      </c>
      <c r="AE6" s="813"/>
      <c r="AF6" s="762"/>
      <c r="AH6" s="406" t="e">
        <f>"ListeIntervenants"&amp;VLOOKUP(F6,'Intervenants et coûts-j'!$B$5:$C$12,2,FALSE)</f>
        <v>#N/A</v>
      </c>
      <c r="AI6" s="618">
        <f t="shared" ref="AI6:AI14" si="6">O6</f>
        <v>0</v>
      </c>
    </row>
    <row r="7" spans="1:35" ht="15" customHeight="1" x14ac:dyDescent="0.25">
      <c r="A7" s="815"/>
      <c r="B7" s="765"/>
      <c r="C7" s="765"/>
      <c r="D7" s="765"/>
      <c r="E7" s="765"/>
      <c r="F7" s="299"/>
      <c r="G7" s="211"/>
      <c r="H7" s="305"/>
      <c r="I7" s="305"/>
      <c r="J7" s="357" t="str">
        <f>IF(G7="","",VLOOKUP(G7,'Intervenants et coûts-j'!$C$15:$F$45,3,FALSE))</f>
        <v/>
      </c>
      <c r="K7" s="358" t="str">
        <f>IF(G7="","",VLOOKUP(G7,'Intervenants et coûts-j'!$C$15:$F$45,4,FALSE))</f>
        <v/>
      </c>
      <c r="L7" s="358" t="str">
        <f t="shared" si="0"/>
        <v/>
      </c>
      <c r="M7" s="358" t="str">
        <f>IF(F7="","",IF(VLOOKUP(F7,'Intervenants et coûts-j'!$B$4:$E$12,4,FALSE)="Oui",L7*0.15,0))</f>
        <v/>
      </c>
      <c r="N7" s="358" t="str">
        <f t="shared" si="1"/>
        <v/>
      </c>
      <c r="O7" s="359">
        <f t="shared" si="2"/>
        <v>0</v>
      </c>
      <c r="P7" s="813"/>
      <c r="Q7" s="762"/>
      <c r="R7" s="820"/>
      <c r="S7" s="820"/>
      <c r="T7" s="820"/>
      <c r="U7" s="330"/>
      <c r="V7" s="335"/>
      <c r="W7" s="338"/>
      <c r="X7" s="338"/>
      <c r="Y7" s="357" t="str">
        <f>IF(V7="","",VLOOKUP(V7,'Intervenants et coûts-j'!$C$15:$F$45,3,FALSE))</f>
        <v/>
      </c>
      <c r="Z7" s="358" t="str">
        <f>IF(V7="","",VLOOKUP(V7,'Intervenants et coûts-j'!$C$15:$F$45,4,FALSE))</f>
        <v/>
      </c>
      <c r="AA7" s="358" t="str">
        <f t="shared" si="3"/>
        <v/>
      </c>
      <c r="AB7" s="358" t="str">
        <f>IF(U7="","",IF(VLOOKUP(U7,'Intervenants et coûts-j'!$B$4:$E$12,4,FALSE)="Oui",AA7*0.15,0))</f>
        <v/>
      </c>
      <c r="AC7" s="358" t="str">
        <f t="shared" si="4"/>
        <v/>
      </c>
      <c r="AD7" s="359">
        <f t="shared" si="5"/>
        <v>0</v>
      </c>
      <c r="AE7" s="813"/>
      <c r="AF7" s="762"/>
      <c r="AH7" s="406" t="e">
        <f>"ListeIntervenants"&amp;VLOOKUP(F7,'Intervenants et coûts-j'!$B$5:$C$12,2,FALSE)</f>
        <v>#N/A</v>
      </c>
      <c r="AI7" s="618">
        <f t="shared" si="6"/>
        <v>0</v>
      </c>
    </row>
    <row r="8" spans="1:35" ht="15" customHeight="1" x14ac:dyDescent="0.25">
      <c r="A8" s="815"/>
      <c r="B8" s="765"/>
      <c r="C8" s="765"/>
      <c r="D8" s="765"/>
      <c r="E8" s="765"/>
      <c r="F8" s="299"/>
      <c r="G8" s="211"/>
      <c r="H8" s="305"/>
      <c r="I8" s="305"/>
      <c r="J8" s="357" t="str">
        <f>IF(G8="","",VLOOKUP(G8,'Intervenants et coûts-j'!$C$15:$F$45,3,FALSE))</f>
        <v/>
      </c>
      <c r="K8" s="358" t="str">
        <f>IF(G8="","",VLOOKUP(G8,'Intervenants et coûts-j'!$C$15:$F$45,4,FALSE))</f>
        <v/>
      </c>
      <c r="L8" s="358" t="str">
        <f t="shared" si="0"/>
        <v/>
      </c>
      <c r="M8" s="358" t="str">
        <f>IF(F8="","",IF(VLOOKUP(F8,'Intervenants et coûts-j'!$B$4:$E$12,4,FALSE)="Oui",L8*0.15,0))</f>
        <v/>
      </c>
      <c r="N8" s="358" t="str">
        <f t="shared" si="1"/>
        <v/>
      </c>
      <c r="O8" s="359">
        <f t="shared" si="2"/>
        <v>0</v>
      </c>
      <c r="P8" s="813"/>
      <c r="Q8" s="762"/>
      <c r="R8" s="820"/>
      <c r="S8" s="820"/>
      <c r="T8" s="820"/>
      <c r="U8" s="330"/>
      <c r="V8" s="335"/>
      <c r="W8" s="338"/>
      <c r="X8" s="338"/>
      <c r="Y8" s="357" t="str">
        <f>IF(V8="","",VLOOKUP(V8,'Intervenants et coûts-j'!$C$15:$F$45,3,FALSE))</f>
        <v/>
      </c>
      <c r="Z8" s="358" t="str">
        <f>IF(V8="","",VLOOKUP(V8,'Intervenants et coûts-j'!$C$15:$F$45,4,FALSE))</f>
        <v/>
      </c>
      <c r="AA8" s="358" t="str">
        <f t="shared" si="3"/>
        <v/>
      </c>
      <c r="AB8" s="358" t="str">
        <f>IF(U8="","",IF(VLOOKUP(U8,'Intervenants et coûts-j'!$B$4:$E$12,4,FALSE)="Oui",AA8*0.15,0))</f>
        <v/>
      </c>
      <c r="AC8" s="358" t="str">
        <f t="shared" si="4"/>
        <v/>
      </c>
      <c r="AD8" s="359">
        <f t="shared" si="5"/>
        <v>0</v>
      </c>
      <c r="AE8" s="813"/>
      <c r="AF8" s="762"/>
      <c r="AH8" s="406" t="e">
        <f>"ListeIntervenants"&amp;VLOOKUP(F8,'Intervenants et coûts-j'!$B$5:$C$12,2,FALSE)</f>
        <v>#N/A</v>
      </c>
      <c r="AI8" s="618">
        <f t="shared" si="6"/>
        <v>0</v>
      </c>
    </row>
    <row r="9" spans="1:35" ht="15" customHeight="1" x14ac:dyDescent="0.25">
      <c r="A9" s="815"/>
      <c r="B9" s="765"/>
      <c r="C9" s="765"/>
      <c r="D9" s="765"/>
      <c r="E9" s="765"/>
      <c r="F9" s="299"/>
      <c r="G9" s="211"/>
      <c r="H9" s="305"/>
      <c r="I9" s="305"/>
      <c r="J9" s="357" t="str">
        <f>IF(G9="","",VLOOKUP(G9,'Intervenants et coûts-j'!$C$15:$F$45,3,FALSE))</f>
        <v/>
      </c>
      <c r="K9" s="358" t="str">
        <f>IF(G9="","",VLOOKUP(G9,'Intervenants et coûts-j'!$C$15:$F$45,4,FALSE))</f>
        <v/>
      </c>
      <c r="L9" s="358" t="str">
        <f t="shared" si="0"/>
        <v/>
      </c>
      <c r="M9" s="358" t="str">
        <f>IF(F9="","",IF(VLOOKUP(F9,'Intervenants et coûts-j'!$B$4:$E$12,4,FALSE)="Oui",L9*0.15,0))</f>
        <v/>
      </c>
      <c r="N9" s="358" t="str">
        <f t="shared" si="1"/>
        <v/>
      </c>
      <c r="O9" s="359">
        <f t="shared" si="2"/>
        <v>0</v>
      </c>
      <c r="P9" s="813"/>
      <c r="Q9" s="762"/>
      <c r="R9" s="820"/>
      <c r="S9" s="820"/>
      <c r="T9" s="820"/>
      <c r="U9" s="330"/>
      <c r="V9" s="335"/>
      <c r="W9" s="338"/>
      <c r="X9" s="338"/>
      <c r="Y9" s="357" t="str">
        <f>IF(V9="","",VLOOKUP(V9,'Intervenants et coûts-j'!$C$15:$F$45,3,FALSE))</f>
        <v/>
      </c>
      <c r="Z9" s="358" t="str">
        <f>IF(V9="","",VLOOKUP(V9,'Intervenants et coûts-j'!$C$15:$F$45,4,FALSE))</f>
        <v/>
      </c>
      <c r="AA9" s="358" t="str">
        <f t="shared" si="3"/>
        <v/>
      </c>
      <c r="AB9" s="358" t="str">
        <f>IF(U9="","",IF(VLOOKUP(U9,'Intervenants et coûts-j'!$B$4:$E$12,4,FALSE)="Oui",AA9*0.15,0))</f>
        <v/>
      </c>
      <c r="AC9" s="358" t="str">
        <f t="shared" si="4"/>
        <v/>
      </c>
      <c r="AD9" s="359">
        <f t="shared" si="5"/>
        <v>0</v>
      </c>
      <c r="AE9" s="813"/>
      <c r="AF9" s="762"/>
      <c r="AH9" s="406" t="e">
        <f>"ListeIntervenants"&amp;VLOOKUP(F9,'Intervenants et coûts-j'!$B$5:$C$12,2,FALSE)</f>
        <v>#N/A</v>
      </c>
      <c r="AI9" s="618">
        <f t="shared" si="6"/>
        <v>0</v>
      </c>
    </row>
    <row r="10" spans="1:35" ht="15" customHeight="1" x14ac:dyDescent="0.25">
      <c r="A10" s="815"/>
      <c r="B10" s="765"/>
      <c r="C10" s="765"/>
      <c r="D10" s="765"/>
      <c r="E10" s="765"/>
      <c r="F10" s="299"/>
      <c r="G10" s="211"/>
      <c r="H10" s="305"/>
      <c r="I10" s="305"/>
      <c r="J10" s="357" t="str">
        <f>IF(G10="","",VLOOKUP(G10,'Intervenants et coûts-j'!$C$15:$F$45,3,FALSE))</f>
        <v/>
      </c>
      <c r="K10" s="358" t="str">
        <f>IF(G10="","",VLOOKUP(G10,'Intervenants et coûts-j'!$C$15:$F$45,4,FALSE))</f>
        <v/>
      </c>
      <c r="L10" s="358" t="str">
        <f t="shared" si="0"/>
        <v/>
      </c>
      <c r="M10" s="358" t="str">
        <f>IF(F10="","",IF(VLOOKUP(F10,'Intervenants et coûts-j'!$B$4:$E$12,4,FALSE)="Oui",L10*0.15,0))</f>
        <v/>
      </c>
      <c r="N10" s="358" t="str">
        <f t="shared" si="1"/>
        <v/>
      </c>
      <c r="O10" s="359">
        <f t="shared" si="2"/>
        <v>0</v>
      </c>
      <c r="P10" s="813"/>
      <c r="Q10" s="762"/>
      <c r="R10" s="820"/>
      <c r="S10" s="820"/>
      <c r="T10" s="820"/>
      <c r="U10" s="330"/>
      <c r="V10" s="335"/>
      <c r="W10" s="338"/>
      <c r="X10" s="338"/>
      <c r="Y10" s="357" t="str">
        <f>IF(V10="","",VLOOKUP(V10,'Intervenants et coûts-j'!$C$15:$F$45,3,FALSE))</f>
        <v/>
      </c>
      <c r="Z10" s="358" t="str">
        <f>IF(V10="","",VLOOKUP(V10,'Intervenants et coûts-j'!$C$15:$F$45,4,FALSE))</f>
        <v/>
      </c>
      <c r="AA10" s="358" t="str">
        <f t="shared" si="3"/>
        <v/>
      </c>
      <c r="AB10" s="358" t="str">
        <f>IF(U10="","",IF(VLOOKUP(U10,'Intervenants et coûts-j'!$B$4:$E$12,4,FALSE)="Oui",AA10*0.15,0))</f>
        <v/>
      </c>
      <c r="AC10" s="358" t="str">
        <f t="shared" si="4"/>
        <v/>
      </c>
      <c r="AD10" s="359">
        <f t="shared" si="5"/>
        <v>0</v>
      </c>
      <c r="AE10" s="813"/>
      <c r="AF10" s="762"/>
      <c r="AH10" s="406" t="e">
        <f>"ListeIntervenants"&amp;VLOOKUP(F10,'Intervenants et coûts-j'!$B$5:$C$12,2,FALSE)</f>
        <v>#N/A</v>
      </c>
      <c r="AI10" s="618">
        <f t="shared" si="6"/>
        <v>0</v>
      </c>
    </row>
    <row r="11" spans="1:35" ht="15" customHeight="1" thickBot="1" x14ac:dyDescent="0.3">
      <c r="A11" s="815"/>
      <c r="B11" s="766"/>
      <c r="C11" s="766"/>
      <c r="D11" s="766"/>
      <c r="E11" s="766"/>
      <c r="F11" s="309"/>
      <c r="G11" s="417"/>
      <c r="H11" s="418"/>
      <c r="I11" s="418"/>
      <c r="J11" s="419" t="str">
        <f>IF(G11="","",VLOOKUP(G11,'Intervenants et coûts-j'!$C$15:$F$45,3,FALSE))</f>
        <v/>
      </c>
      <c r="K11" s="420" t="str">
        <f>IF(G11="","",VLOOKUP(G11,'Intervenants et coûts-j'!$C$15:$F$45,4,FALSE))</f>
        <v/>
      </c>
      <c r="L11" s="420" t="str">
        <f t="shared" si="0"/>
        <v/>
      </c>
      <c r="M11" s="420" t="str">
        <f>IF(F11="","",IF(VLOOKUP(F11,'Intervenants et coûts-j'!$B$4:$E$12,4,FALSE)="Oui",L11*0.15,0))</f>
        <v/>
      </c>
      <c r="N11" s="420" t="str">
        <f t="shared" si="1"/>
        <v/>
      </c>
      <c r="O11" s="421">
        <f t="shared" si="2"/>
        <v>0</v>
      </c>
      <c r="P11" s="813"/>
      <c r="Q11" s="762"/>
      <c r="R11" s="821"/>
      <c r="S11" s="821"/>
      <c r="T11" s="821"/>
      <c r="U11" s="428"/>
      <c r="V11" s="429"/>
      <c r="W11" s="426"/>
      <c r="X11" s="426"/>
      <c r="Y11" s="419" t="str">
        <f>IF(V11="","",VLOOKUP(V11,'Intervenants et coûts-j'!$C$15:$F$45,3,FALSE))</f>
        <v/>
      </c>
      <c r="Z11" s="420" t="str">
        <f>IF(V11="","",VLOOKUP(V11,'Intervenants et coûts-j'!$C$15:$F$45,4,FALSE))</f>
        <v/>
      </c>
      <c r="AA11" s="420" t="str">
        <f t="shared" si="3"/>
        <v/>
      </c>
      <c r="AB11" s="420" t="str">
        <f>IF(U11="","",IF(VLOOKUP(U11,'Intervenants et coûts-j'!$B$4:$E$12,4,FALSE)="Oui",AA11*0.15,0))</f>
        <v/>
      </c>
      <c r="AC11" s="420" t="str">
        <f t="shared" si="4"/>
        <v/>
      </c>
      <c r="AD11" s="421">
        <f t="shared" si="5"/>
        <v>0</v>
      </c>
      <c r="AE11" s="813"/>
      <c r="AF11" s="762"/>
      <c r="AH11" s="406" t="e">
        <f>"ListeIntervenants"&amp;VLOOKUP(F11,'Intervenants et coûts-j'!$B$5:$C$12,2,FALSE)</f>
        <v>#N/A</v>
      </c>
      <c r="AI11" s="618">
        <f t="shared" si="6"/>
        <v>0</v>
      </c>
    </row>
    <row r="12" spans="1:35" ht="15" customHeight="1" x14ac:dyDescent="0.25">
      <c r="A12" s="810" t="s">
        <v>189</v>
      </c>
      <c r="B12" s="793"/>
      <c r="C12" s="793"/>
      <c r="D12" s="793"/>
      <c r="E12" s="792" t="s">
        <v>57</v>
      </c>
      <c r="F12" s="310"/>
      <c r="G12" s="422" t="s">
        <v>57</v>
      </c>
      <c r="H12" s="424" t="s">
        <v>57</v>
      </c>
      <c r="I12" s="424" t="s">
        <v>57</v>
      </c>
      <c r="J12" s="424" t="s">
        <v>57</v>
      </c>
      <c r="K12" s="424" t="s">
        <v>57</v>
      </c>
      <c r="L12" s="424" t="s">
        <v>57</v>
      </c>
      <c r="M12" s="424" t="s">
        <v>57</v>
      </c>
      <c r="N12" s="424" t="s">
        <v>57</v>
      </c>
      <c r="O12" s="354">
        <v>0</v>
      </c>
      <c r="P12" s="782" t="s">
        <v>57</v>
      </c>
      <c r="Q12" s="761">
        <v>0</v>
      </c>
      <c r="R12" s="822"/>
      <c r="S12" s="822"/>
      <c r="T12" s="822"/>
      <c r="U12" s="329"/>
      <c r="V12" s="422" t="s">
        <v>57</v>
      </c>
      <c r="W12" s="423" t="s">
        <v>57</v>
      </c>
      <c r="X12" s="424" t="s">
        <v>57</v>
      </c>
      <c r="Y12" s="424" t="s">
        <v>57</v>
      </c>
      <c r="Z12" s="424" t="s">
        <v>57</v>
      </c>
      <c r="AA12" s="424" t="s">
        <v>57</v>
      </c>
      <c r="AB12" s="424" t="s">
        <v>57</v>
      </c>
      <c r="AC12" s="424" t="s">
        <v>57</v>
      </c>
      <c r="AD12" s="313">
        <v>0</v>
      </c>
      <c r="AE12" s="782" t="s">
        <v>57</v>
      </c>
      <c r="AF12" s="761">
        <v>0</v>
      </c>
      <c r="AH12" s="406" t="e">
        <f>"ListeIntervenants"&amp;VLOOKUP(F12,'Intervenants et coûts-j'!$B$5:$C$12,2,FALSE)</f>
        <v>#N/A</v>
      </c>
      <c r="AI12" s="618">
        <f t="shared" si="6"/>
        <v>0</v>
      </c>
    </row>
    <row r="13" spans="1:35" ht="15" customHeight="1" x14ac:dyDescent="0.25">
      <c r="A13" s="797"/>
      <c r="B13" s="794"/>
      <c r="C13" s="794"/>
      <c r="D13" s="794"/>
      <c r="E13" s="765"/>
      <c r="F13" s="299"/>
      <c r="G13" s="302" t="s">
        <v>57</v>
      </c>
      <c r="H13" s="308" t="s">
        <v>57</v>
      </c>
      <c r="I13" s="308" t="s">
        <v>57</v>
      </c>
      <c r="J13" s="302" t="s">
        <v>57</v>
      </c>
      <c r="K13" s="302" t="s">
        <v>57</v>
      </c>
      <c r="L13" s="302" t="s">
        <v>57</v>
      </c>
      <c r="M13" s="302" t="s">
        <v>57</v>
      </c>
      <c r="N13" s="302" t="s">
        <v>57</v>
      </c>
      <c r="O13" s="359">
        <v>0</v>
      </c>
      <c r="P13" s="783"/>
      <c r="Q13" s="762"/>
      <c r="R13" s="817"/>
      <c r="S13" s="817"/>
      <c r="T13" s="817"/>
      <c r="U13" s="330"/>
      <c r="V13" s="302" t="s">
        <v>57</v>
      </c>
      <c r="W13" s="400" t="s">
        <v>57</v>
      </c>
      <c r="X13" s="308" t="s">
        <v>57</v>
      </c>
      <c r="Y13" s="302" t="s">
        <v>57</v>
      </c>
      <c r="Z13" s="302" t="s">
        <v>57</v>
      </c>
      <c r="AA13" s="302" t="s">
        <v>57</v>
      </c>
      <c r="AB13" s="302" t="s">
        <v>57</v>
      </c>
      <c r="AC13" s="302" t="s">
        <v>57</v>
      </c>
      <c r="AD13" s="297">
        <v>0</v>
      </c>
      <c r="AE13" s="783"/>
      <c r="AF13" s="762"/>
      <c r="AH13" s="406" t="e">
        <f>"ListeIntervenants"&amp;VLOOKUP(F13,'Intervenants et coûts-j'!$B$5:$C$12,2,FALSE)</f>
        <v>#N/A</v>
      </c>
      <c r="AI13" s="618">
        <f t="shared" si="6"/>
        <v>0</v>
      </c>
    </row>
    <row r="14" spans="1:35" ht="15" customHeight="1" thickBot="1" x14ac:dyDescent="0.3">
      <c r="A14" s="811"/>
      <c r="B14" s="795"/>
      <c r="C14" s="795"/>
      <c r="D14" s="795"/>
      <c r="E14" s="766"/>
      <c r="F14" s="314"/>
      <c r="G14" s="315" t="s">
        <v>57</v>
      </c>
      <c r="H14" s="316" t="s">
        <v>57</v>
      </c>
      <c r="I14" s="316" t="s">
        <v>57</v>
      </c>
      <c r="J14" s="315" t="s">
        <v>57</v>
      </c>
      <c r="K14" s="315" t="s">
        <v>57</v>
      </c>
      <c r="L14" s="315" t="s">
        <v>57</v>
      </c>
      <c r="M14" s="315" t="s">
        <v>57</v>
      </c>
      <c r="N14" s="315" t="s">
        <v>57</v>
      </c>
      <c r="O14" s="615">
        <v>0</v>
      </c>
      <c r="P14" s="784"/>
      <c r="Q14" s="763"/>
      <c r="R14" s="818"/>
      <c r="S14" s="818"/>
      <c r="T14" s="818"/>
      <c r="U14" s="333"/>
      <c r="V14" s="315" t="s">
        <v>57</v>
      </c>
      <c r="W14" s="401" t="s">
        <v>57</v>
      </c>
      <c r="X14" s="316" t="s">
        <v>57</v>
      </c>
      <c r="Y14" s="315" t="s">
        <v>57</v>
      </c>
      <c r="Z14" s="315" t="s">
        <v>57</v>
      </c>
      <c r="AA14" s="315" t="s">
        <v>57</v>
      </c>
      <c r="AB14" s="315" t="s">
        <v>57</v>
      </c>
      <c r="AC14" s="315" t="s">
        <v>57</v>
      </c>
      <c r="AD14" s="402">
        <v>0</v>
      </c>
      <c r="AE14" s="784"/>
      <c r="AF14" s="763"/>
      <c r="AH14" s="406" t="e">
        <f>"ListeIntervenants"&amp;VLOOKUP(F14,'Intervenants et coûts-j'!$B$5:$C$12,2,FALSE)</f>
        <v>#N/A</v>
      </c>
      <c r="AI14" s="618">
        <f t="shared" si="6"/>
        <v>0</v>
      </c>
    </row>
    <row r="15" spans="1:35" ht="12.75" customHeight="1" x14ac:dyDescent="0.25">
      <c r="A15" s="797" t="s">
        <v>252</v>
      </c>
      <c r="B15" s="796"/>
      <c r="C15" s="796"/>
      <c r="D15" s="796"/>
      <c r="E15" s="792" t="s">
        <v>259</v>
      </c>
      <c r="F15" s="318"/>
      <c r="G15" s="319"/>
      <c r="H15" s="320"/>
      <c r="I15" s="320"/>
      <c r="J15" s="414" t="str">
        <f>IF(G15="","",VLOOKUP(G15,'Intervenants et coûts-j'!$C$15:$F$45,3,FALSE))</f>
        <v/>
      </c>
      <c r="K15" s="415" t="str">
        <f>IF(G15="","",VLOOKUP(G15,'Intervenants et coûts-j'!$C$15:$F$45,4,FALSE))</f>
        <v/>
      </c>
      <c r="L15" s="415" t="str">
        <f>IF(H15="","",K15*H15)</f>
        <v/>
      </c>
      <c r="M15" s="415" t="str">
        <f>IF(F15="","",IF(VLOOKUP(F15,'Intervenants et coûts-j'!$B$4:$E$12,4,FALSE)="Oui",L15*0.15,0))</f>
        <v/>
      </c>
      <c r="N15" s="415" t="str">
        <f>IF(I15="","",K15*I15*0.1)</f>
        <v/>
      </c>
      <c r="O15" s="416">
        <f t="shared" ref="O15:O21" si="7">IF(K15="",0,SUM(N15,M15,L15))</f>
        <v>0</v>
      </c>
      <c r="P15" s="783">
        <f>SUM(B15:D24)*80</f>
        <v>0</v>
      </c>
      <c r="Q15" s="762">
        <f>MIN(P15,SUM(O15:O24))</f>
        <v>0</v>
      </c>
      <c r="R15" s="816"/>
      <c r="S15" s="816"/>
      <c r="T15" s="816"/>
      <c r="U15" s="430"/>
      <c r="V15" s="431"/>
      <c r="W15" s="427"/>
      <c r="X15" s="427"/>
      <c r="Y15" s="414" t="str">
        <f>IF(V15="","",VLOOKUP(V15,'Intervenants et coûts-j'!$C$15:$F$45,3,FALSE))</f>
        <v/>
      </c>
      <c r="Z15" s="415" t="str">
        <f>IF(V15="","",VLOOKUP(V15,'Intervenants et coûts-j'!$C$15:$F$45,4,FALSE))</f>
        <v/>
      </c>
      <c r="AA15" s="415" t="str">
        <f>IF(W15="","",Z15*W15)</f>
        <v/>
      </c>
      <c r="AB15" s="415" t="str">
        <f>IF(U15="","",IF(VLOOKUP(U15,'Intervenants et coûts-j'!$B$4:$E$12,4,FALSE)="Oui",AA15*0.15,0))</f>
        <v/>
      </c>
      <c r="AC15" s="415" t="str">
        <f>IF(X15="","",Z15*X15*0.1)</f>
        <v/>
      </c>
      <c r="AD15" s="416">
        <f>IF(Z15="",0,AC15+AB15+AA15)</f>
        <v>0</v>
      </c>
      <c r="AE15" s="783">
        <f>SUM(R15:T24)*80</f>
        <v>0</v>
      </c>
      <c r="AF15" s="762">
        <f>MIN(AE15,SUM(AD15:AD24))</f>
        <v>0</v>
      </c>
      <c r="AH15" s="406" t="e">
        <f>"ListeIntervenants"&amp;VLOOKUP(F15,'Intervenants et coûts-j'!$B$5:$C$12,2,FALSE)</f>
        <v>#N/A</v>
      </c>
      <c r="AI15" s="618">
        <f>IF(SUM($O$15:$O$24)=0,0,(O15*$Q$15/SUM($O$15:$O$24)))</f>
        <v>0</v>
      </c>
    </row>
    <row r="16" spans="1:35" ht="15" customHeight="1" x14ac:dyDescent="0.25">
      <c r="A16" s="798"/>
      <c r="B16" s="794"/>
      <c r="C16" s="794"/>
      <c r="D16" s="794"/>
      <c r="E16" s="765"/>
      <c r="F16" s="299"/>
      <c r="G16" s="211"/>
      <c r="H16" s="305"/>
      <c r="I16" s="305"/>
      <c r="J16" s="357" t="str">
        <f>IF(G16="","",VLOOKUP(G16,'Intervenants et coûts-j'!$C$15:$F$45,3,FALSE))</f>
        <v/>
      </c>
      <c r="K16" s="358" t="str">
        <f>IF(G16="","",VLOOKUP(G16,'Intervenants et coûts-j'!$C$15:$F$45,4,FALSE))</f>
        <v/>
      </c>
      <c r="L16" s="358" t="str">
        <f t="shared" ref="L16:L21" si="8">IF(H16="","",K16*H16)</f>
        <v/>
      </c>
      <c r="M16" s="358" t="str">
        <f>IF(F16="","",IF(VLOOKUP(F16,'Intervenants et coûts-j'!$B$4:$E$12,4,FALSE)="Oui",L16*0.15,0))</f>
        <v/>
      </c>
      <c r="N16" s="358" t="str">
        <f t="shared" ref="N16:N21" si="9">IF(I16="","",K16*I16*0.1)</f>
        <v/>
      </c>
      <c r="O16" s="359">
        <f t="shared" si="7"/>
        <v>0</v>
      </c>
      <c r="P16" s="783"/>
      <c r="Q16" s="762"/>
      <c r="R16" s="817"/>
      <c r="S16" s="817"/>
      <c r="T16" s="817"/>
      <c r="U16" s="330"/>
      <c r="V16" s="335"/>
      <c r="W16" s="338"/>
      <c r="X16" s="338"/>
      <c r="Y16" s="357" t="str">
        <f>IF(V16="","",VLOOKUP(V16,'Intervenants et coûts-j'!$C$15:$F$45,3,FALSE))</f>
        <v/>
      </c>
      <c r="Z16" s="358" t="str">
        <f>IF(V16="","",VLOOKUP(V16,'Intervenants et coûts-j'!$C$15:$F$45,4,FALSE))</f>
        <v/>
      </c>
      <c r="AA16" s="358" t="str">
        <f t="shared" ref="AA16:AA21" si="10">IF(W16="","",Z16*W16)</f>
        <v/>
      </c>
      <c r="AB16" s="358" t="str">
        <f>IF(U16="","",IF(VLOOKUP(U16,'Intervenants et coûts-j'!$B$4:$E$12,4,FALSE)="Oui",AA16*0.15,0))</f>
        <v/>
      </c>
      <c r="AC16" s="358" t="str">
        <f t="shared" ref="AC16:AC21" si="11">IF(X16="","",Z16*X16*0.1)</f>
        <v/>
      </c>
      <c r="AD16" s="359">
        <f t="shared" ref="AD16:AD21" si="12">IF(Z16="",0,AC16+AB16+AA16)</f>
        <v>0</v>
      </c>
      <c r="AE16" s="783"/>
      <c r="AF16" s="762"/>
      <c r="AH16" s="406" t="e">
        <f>"ListeIntervenants"&amp;VLOOKUP(F16,'Intervenants et coûts-j'!$B$5:$C$12,2,FALSE)</f>
        <v>#N/A</v>
      </c>
      <c r="AI16" s="618">
        <f t="shared" ref="AI16:AI24" si="13">IF(SUM($O$15:$O$24)=0,0,(O16*$Q$15/SUM($O$15:$O$24)))</f>
        <v>0</v>
      </c>
    </row>
    <row r="17" spans="1:35" ht="15" customHeight="1" x14ac:dyDescent="0.25">
      <c r="A17" s="798"/>
      <c r="B17" s="794"/>
      <c r="C17" s="794"/>
      <c r="D17" s="794"/>
      <c r="E17" s="765"/>
      <c r="F17" s="299"/>
      <c r="G17" s="211"/>
      <c r="H17" s="305"/>
      <c r="I17" s="305"/>
      <c r="J17" s="357" t="str">
        <f>IF(G17="","",VLOOKUP(G17,'Intervenants et coûts-j'!$C$15:$F$45,3,FALSE))</f>
        <v/>
      </c>
      <c r="K17" s="358" t="str">
        <f>IF(G17="","",VLOOKUP(G17,'Intervenants et coûts-j'!$C$15:$F$45,4,FALSE))</f>
        <v/>
      </c>
      <c r="L17" s="358" t="str">
        <f t="shared" si="8"/>
        <v/>
      </c>
      <c r="M17" s="358" t="str">
        <f>IF(F17="","",IF(VLOOKUP(F17,'Intervenants et coûts-j'!$B$4:$E$12,4,FALSE)="Oui",L17*0.15,0))</f>
        <v/>
      </c>
      <c r="N17" s="358" t="str">
        <f t="shared" si="9"/>
        <v/>
      </c>
      <c r="O17" s="359">
        <f t="shared" si="7"/>
        <v>0</v>
      </c>
      <c r="P17" s="783"/>
      <c r="Q17" s="762"/>
      <c r="R17" s="817"/>
      <c r="S17" s="817"/>
      <c r="T17" s="817"/>
      <c r="U17" s="330"/>
      <c r="V17" s="335"/>
      <c r="W17" s="338"/>
      <c r="X17" s="338"/>
      <c r="Y17" s="357" t="str">
        <f>IF(V17="","",VLOOKUP(V17,'Intervenants et coûts-j'!$C$15:$F$45,3,FALSE))</f>
        <v/>
      </c>
      <c r="Z17" s="358" t="str">
        <f>IF(V17="","",VLOOKUP(V17,'Intervenants et coûts-j'!$C$15:$F$45,4,FALSE))</f>
        <v/>
      </c>
      <c r="AA17" s="358" t="str">
        <f t="shared" si="10"/>
        <v/>
      </c>
      <c r="AB17" s="358" t="str">
        <f>IF(U17="","",IF(VLOOKUP(U17,'Intervenants et coûts-j'!$B$4:$E$12,4,FALSE)="Oui",AA17*0.15,0))</f>
        <v/>
      </c>
      <c r="AC17" s="358" t="str">
        <f t="shared" si="11"/>
        <v/>
      </c>
      <c r="AD17" s="359">
        <f t="shared" si="12"/>
        <v>0</v>
      </c>
      <c r="AE17" s="783"/>
      <c r="AF17" s="762"/>
      <c r="AH17" s="406" t="e">
        <f>"ListeIntervenants"&amp;VLOOKUP(F17,'Intervenants et coûts-j'!$B$5:$C$12,2,FALSE)</f>
        <v>#N/A</v>
      </c>
      <c r="AI17" s="618">
        <f t="shared" si="13"/>
        <v>0</v>
      </c>
    </row>
    <row r="18" spans="1:35" ht="15" customHeight="1" x14ac:dyDescent="0.25">
      <c r="A18" s="798"/>
      <c r="B18" s="794"/>
      <c r="C18" s="794"/>
      <c r="D18" s="794"/>
      <c r="E18" s="765"/>
      <c r="F18" s="299"/>
      <c r="G18" s="211"/>
      <c r="H18" s="305"/>
      <c r="I18" s="305"/>
      <c r="J18" s="357" t="str">
        <f>IF(G18="","",VLOOKUP(G18,'Intervenants et coûts-j'!$C$15:$F$45,3,FALSE))</f>
        <v/>
      </c>
      <c r="K18" s="358" t="str">
        <f>IF(G18="","",VLOOKUP(G18,'Intervenants et coûts-j'!$C$15:$F$45,4,FALSE))</f>
        <v/>
      </c>
      <c r="L18" s="358" t="str">
        <f t="shared" si="8"/>
        <v/>
      </c>
      <c r="M18" s="358" t="str">
        <f>IF(F18="","",IF(VLOOKUP(F18,'Intervenants et coûts-j'!$B$4:$E$12,4,FALSE)="Oui",L18*0.15,0))</f>
        <v/>
      </c>
      <c r="N18" s="358" t="str">
        <f t="shared" si="9"/>
        <v/>
      </c>
      <c r="O18" s="359">
        <f t="shared" si="7"/>
        <v>0</v>
      </c>
      <c r="P18" s="783"/>
      <c r="Q18" s="762"/>
      <c r="R18" s="817"/>
      <c r="S18" s="817"/>
      <c r="T18" s="817"/>
      <c r="U18" s="330"/>
      <c r="V18" s="335"/>
      <c r="W18" s="338"/>
      <c r="X18" s="338"/>
      <c r="Y18" s="357" t="str">
        <f>IF(V18="","",VLOOKUP(V18,'Intervenants et coûts-j'!$C$15:$F$45,3,FALSE))</f>
        <v/>
      </c>
      <c r="Z18" s="358" t="str">
        <f>IF(V18="","",VLOOKUP(V18,'Intervenants et coûts-j'!$C$15:$F$45,4,FALSE))</f>
        <v/>
      </c>
      <c r="AA18" s="358" t="str">
        <f t="shared" si="10"/>
        <v/>
      </c>
      <c r="AB18" s="358" t="str">
        <f>IF(U18="","",IF(VLOOKUP(U18,'Intervenants et coûts-j'!$B$4:$E$12,4,FALSE)="Oui",AA18*0.15,0))</f>
        <v/>
      </c>
      <c r="AC18" s="358" t="str">
        <f t="shared" si="11"/>
        <v/>
      </c>
      <c r="AD18" s="359">
        <f t="shared" si="12"/>
        <v>0</v>
      </c>
      <c r="AE18" s="783"/>
      <c r="AF18" s="762"/>
      <c r="AH18" s="406" t="e">
        <f>"ListeIntervenants"&amp;VLOOKUP(F18,'Intervenants et coûts-j'!$B$5:$C$12,2,FALSE)</f>
        <v>#N/A</v>
      </c>
      <c r="AI18" s="618">
        <f t="shared" si="13"/>
        <v>0</v>
      </c>
    </row>
    <row r="19" spans="1:35" ht="15" customHeight="1" x14ac:dyDescent="0.25">
      <c r="A19" s="798"/>
      <c r="B19" s="794"/>
      <c r="C19" s="794"/>
      <c r="D19" s="794"/>
      <c r="E19" s="765"/>
      <c r="F19" s="299"/>
      <c r="G19" s="211"/>
      <c r="H19" s="305"/>
      <c r="I19" s="305"/>
      <c r="J19" s="357" t="str">
        <f>IF(G19="","",VLOOKUP(G19,'Intervenants et coûts-j'!$C$15:$F$45,3,FALSE))</f>
        <v/>
      </c>
      <c r="K19" s="358" t="str">
        <f>IF(G19="","",VLOOKUP(G19,'Intervenants et coûts-j'!$C$15:$F$45,4,FALSE))</f>
        <v/>
      </c>
      <c r="L19" s="358" t="str">
        <f t="shared" si="8"/>
        <v/>
      </c>
      <c r="M19" s="358" t="str">
        <f>IF(F19="","",IF(VLOOKUP(F19,'Intervenants et coûts-j'!$B$4:$E$12,4,FALSE)="Oui",L19*0.15,0))</f>
        <v/>
      </c>
      <c r="N19" s="358" t="str">
        <f t="shared" si="9"/>
        <v/>
      </c>
      <c r="O19" s="359">
        <f t="shared" si="7"/>
        <v>0</v>
      </c>
      <c r="P19" s="783"/>
      <c r="Q19" s="762"/>
      <c r="R19" s="817"/>
      <c r="S19" s="817"/>
      <c r="T19" s="817"/>
      <c r="U19" s="330"/>
      <c r="V19" s="335"/>
      <c r="W19" s="338"/>
      <c r="X19" s="338"/>
      <c r="Y19" s="357" t="str">
        <f>IF(V19="","",VLOOKUP(V19,'Intervenants et coûts-j'!$C$15:$F$45,3,FALSE))</f>
        <v/>
      </c>
      <c r="Z19" s="358" t="str">
        <f>IF(V19="","",VLOOKUP(V19,'Intervenants et coûts-j'!$C$15:$F$45,4,FALSE))</f>
        <v/>
      </c>
      <c r="AA19" s="358" t="str">
        <f t="shared" si="10"/>
        <v/>
      </c>
      <c r="AB19" s="358" t="str">
        <f>IF(U19="","",IF(VLOOKUP(U19,'Intervenants et coûts-j'!$B$4:$E$12,4,FALSE)="Oui",AA19*0.15,0))</f>
        <v/>
      </c>
      <c r="AC19" s="358" t="str">
        <f t="shared" si="11"/>
        <v/>
      </c>
      <c r="AD19" s="359">
        <f t="shared" si="12"/>
        <v>0</v>
      </c>
      <c r="AE19" s="783"/>
      <c r="AF19" s="762"/>
      <c r="AH19" s="406" t="e">
        <f>"ListeIntervenants"&amp;VLOOKUP(F19,'Intervenants et coûts-j'!$B$5:$C$12,2,FALSE)</f>
        <v>#N/A</v>
      </c>
      <c r="AI19" s="618">
        <f t="shared" si="13"/>
        <v>0</v>
      </c>
    </row>
    <row r="20" spans="1:35" ht="15" customHeight="1" x14ac:dyDescent="0.25">
      <c r="A20" s="798"/>
      <c r="B20" s="794"/>
      <c r="C20" s="794"/>
      <c r="D20" s="794"/>
      <c r="E20" s="765"/>
      <c r="F20" s="299"/>
      <c r="G20" s="211"/>
      <c r="H20" s="305"/>
      <c r="I20" s="305"/>
      <c r="J20" s="357" t="str">
        <f>IF(G20="","",VLOOKUP(G20,'Intervenants et coûts-j'!$C$15:$F$45,3,FALSE))</f>
        <v/>
      </c>
      <c r="K20" s="358" t="str">
        <f>IF(G20="","",VLOOKUP(G20,'Intervenants et coûts-j'!$C$15:$F$45,4,FALSE))</f>
        <v/>
      </c>
      <c r="L20" s="358" t="str">
        <f t="shared" si="8"/>
        <v/>
      </c>
      <c r="M20" s="358" t="str">
        <f>IF(F20="","",IF(VLOOKUP(F20,'Intervenants et coûts-j'!$B$4:$E$12,4,FALSE)="Oui",L20*0.15,0))</f>
        <v/>
      </c>
      <c r="N20" s="358" t="str">
        <f t="shared" si="9"/>
        <v/>
      </c>
      <c r="O20" s="359">
        <f t="shared" si="7"/>
        <v>0</v>
      </c>
      <c r="P20" s="783"/>
      <c r="Q20" s="762"/>
      <c r="R20" s="817"/>
      <c r="S20" s="817"/>
      <c r="T20" s="817"/>
      <c r="U20" s="330"/>
      <c r="V20" s="335"/>
      <c r="W20" s="338"/>
      <c r="X20" s="338"/>
      <c r="Y20" s="357" t="str">
        <f>IF(V20="","",VLOOKUP(V20,'Intervenants et coûts-j'!$C$15:$F$45,3,FALSE))</f>
        <v/>
      </c>
      <c r="Z20" s="358" t="str">
        <f>IF(V20="","",VLOOKUP(V20,'Intervenants et coûts-j'!$C$15:$F$45,4,FALSE))</f>
        <v/>
      </c>
      <c r="AA20" s="358" t="str">
        <f t="shared" si="10"/>
        <v/>
      </c>
      <c r="AB20" s="358" t="str">
        <f>IF(U20="","",IF(VLOOKUP(U20,'Intervenants et coûts-j'!$B$4:$E$12,4,FALSE)="Oui",AA20*0.15,0))</f>
        <v/>
      </c>
      <c r="AC20" s="358" t="str">
        <f t="shared" si="11"/>
        <v/>
      </c>
      <c r="AD20" s="359">
        <f t="shared" si="12"/>
        <v>0</v>
      </c>
      <c r="AE20" s="783"/>
      <c r="AF20" s="762"/>
      <c r="AH20" s="406" t="e">
        <f>"ListeIntervenants"&amp;VLOOKUP(F20,'Intervenants et coûts-j'!$B$5:$C$12,2,FALSE)</f>
        <v>#N/A</v>
      </c>
      <c r="AI20" s="618">
        <f t="shared" si="13"/>
        <v>0</v>
      </c>
    </row>
    <row r="21" spans="1:35" ht="15" customHeight="1" x14ac:dyDescent="0.25">
      <c r="A21" s="798"/>
      <c r="B21" s="794"/>
      <c r="C21" s="794"/>
      <c r="D21" s="794"/>
      <c r="E21" s="765"/>
      <c r="F21" s="300"/>
      <c r="G21" s="212"/>
      <c r="H21" s="306"/>
      <c r="I21" s="306"/>
      <c r="J21" s="362" t="str">
        <f>IF(G21="","",VLOOKUP(G21,'Intervenants et coûts-j'!$C$15:$F$45,3,FALSE))</f>
        <v/>
      </c>
      <c r="K21" s="363" t="str">
        <f>IF(G21="","",VLOOKUP(G21,'Intervenants et coûts-j'!$C$15:$F$45,4,FALSE))</f>
        <v/>
      </c>
      <c r="L21" s="363" t="str">
        <f t="shared" si="8"/>
        <v/>
      </c>
      <c r="M21" s="363" t="str">
        <f>IF(F21="","",IF(VLOOKUP(F21,'Intervenants et coûts-j'!$B$4:$E$12,4,FALSE)="Oui",L21*0.15,0))</f>
        <v/>
      </c>
      <c r="N21" s="363" t="str">
        <f t="shared" si="9"/>
        <v/>
      </c>
      <c r="O21" s="364">
        <f t="shared" si="7"/>
        <v>0</v>
      </c>
      <c r="P21" s="783"/>
      <c r="Q21" s="762"/>
      <c r="R21" s="817"/>
      <c r="S21" s="817"/>
      <c r="T21" s="817"/>
      <c r="U21" s="331"/>
      <c r="V21" s="336"/>
      <c r="W21" s="339"/>
      <c r="X21" s="339"/>
      <c r="Y21" s="362" t="str">
        <f>IF(V21="","",VLOOKUP(V21,'Intervenants et coûts-j'!$C$15:$F$45,3,FALSE))</f>
        <v/>
      </c>
      <c r="Z21" s="363" t="str">
        <f>IF(V21="","",VLOOKUP(V21,'Intervenants et coûts-j'!$C$15:$F$45,4,FALSE))</f>
        <v/>
      </c>
      <c r="AA21" s="363" t="str">
        <f t="shared" si="10"/>
        <v/>
      </c>
      <c r="AB21" s="363" t="str">
        <f>IF(U21="","",IF(VLOOKUP(U21,'Intervenants et coûts-j'!$B$4:$E$12,4,FALSE)="Oui",AA21*0.15,0))</f>
        <v/>
      </c>
      <c r="AC21" s="363" t="str">
        <f t="shared" si="11"/>
        <v/>
      </c>
      <c r="AD21" s="364">
        <f t="shared" si="12"/>
        <v>0</v>
      </c>
      <c r="AE21" s="783"/>
      <c r="AF21" s="762"/>
      <c r="AH21" s="406" t="e">
        <f>"ListeIntervenants"&amp;VLOOKUP(F21,'Intervenants et coûts-j'!$B$5:$C$12,2,FALSE)</f>
        <v>#N/A</v>
      </c>
      <c r="AI21" s="618">
        <f t="shared" si="13"/>
        <v>0</v>
      </c>
    </row>
    <row r="22" spans="1:35" ht="15" customHeight="1" x14ac:dyDescent="0.25">
      <c r="A22" s="798"/>
      <c r="B22" s="794"/>
      <c r="C22" s="794"/>
      <c r="D22" s="794"/>
      <c r="E22" s="764" t="s">
        <v>248</v>
      </c>
      <c r="F22" s="298"/>
      <c r="G22" s="301"/>
      <c r="H22" s="388"/>
      <c r="I22" s="307"/>
      <c r="J22" s="301"/>
      <c r="K22" s="301"/>
      <c r="L22" s="301"/>
      <c r="M22" s="301"/>
      <c r="N22" s="301"/>
      <c r="O22" s="303">
        <v>0</v>
      </c>
      <c r="P22" s="783"/>
      <c r="Q22" s="762"/>
      <c r="R22" s="817"/>
      <c r="S22" s="817"/>
      <c r="T22" s="817"/>
      <c r="U22" s="332"/>
      <c r="V22" s="301"/>
      <c r="W22" s="385"/>
      <c r="X22" s="307"/>
      <c r="Y22" s="301"/>
      <c r="Z22" s="301"/>
      <c r="AA22" s="301"/>
      <c r="AB22" s="301"/>
      <c r="AC22" s="301"/>
      <c r="AD22" s="340">
        <v>0</v>
      </c>
      <c r="AE22" s="783"/>
      <c r="AF22" s="762"/>
      <c r="AH22" s="406" t="e">
        <f>"ListeIntervenants"&amp;VLOOKUP(F22,'Intervenants et coûts-j'!$B$5:$C$12,2,FALSE)</f>
        <v>#N/A</v>
      </c>
      <c r="AI22" s="618">
        <f t="shared" si="13"/>
        <v>0</v>
      </c>
    </row>
    <row r="23" spans="1:35" ht="15" customHeight="1" x14ac:dyDescent="0.25">
      <c r="A23" s="798"/>
      <c r="B23" s="794"/>
      <c r="C23" s="794"/>
      <c r="D23" s="794"/>
      <c r="E23" s="765"/>
      <c r="F23" s="299"/>
      <c r="G23" s="302"/>
      <c r="H23" s="389"/>
      <c r="I23" s="308"/>
      <c r="J23" s="302"/>
      <c r="K23" s="302"/>
      <c r="L23" s="302"/>
      <c r="M23" s="302"/>
      <c r="N23" s="302"/>
      <c r="O23" s="304">
        <v>0</v>
      </c>
      <c r="P23" s="783"/>
      <c r="Q23" s="762"/>
      <c r="R23" s="817"/>
      <c r="S23" s="817"/>
      <c r="T23" s="817"/>
      <c r="U23" s="330"/>
      <c r="V23" s="302"/>
      <c r="W23" s="386"/>
      <c r="X23" s="308"/>
      <c r="Y23" s="302"/>
      <c r="Z23" s="302"/>
      <c r="AA23" s="302"/>
      <c r="AB23" s="302"/>
      <c r="AC23" s="302"/>
      <c r="AD23" s="341">
        <v>0</v>
      </c>
      <c r="AE23" s="783"/>
      <c r="AF23" s="762"/>
      <c r="AH23" s="406" t="e">
        <f>"ListeIntervenants"&amp;VLOOKUP(F23,'Intervenants et coûts-j'!$B$5:$C$12,2,FALSE)</f>
        <v>#N/A</v>
      </c>
      <c r="AI23" s="618">
        <f t="shared" si="13"/>
        <v>0</v>
      </c>
    </row>
    <row r="24" spans="1:35" ht="15" customHeight="1" thickBot="1" x14ac:dyDescent="0.3">
      <c r="A24" s="799"/>
      <c r="B24" s="795"/>
      <c r="C24" s="795"/>
      <c r="D24" s="795"/>
      <c r="E24" s="766"/>
      <c r="F24" s="314"/>
      <c r="G24" s="315"/>
      <c r="H24" s="390"/>
      <c r="I24" s="316"/>
      <c r="J24" s="315"/>
      <c r="K24" s="315"/>
      <c r="L24" s="315"/>
      <c r="M24" s="315"/>
      <c r="N24" s="315"/>
      <c r="O24" s="317">
        <v>0</v>
      </c>
      <c r="P24" s="784"/>
      <c r="Q24" s="763"/>
      <c r="R24" s="818"/>
      <c r="S24" s="818"/>
      <c r="T24" s="818"/>
      <c r="U24" s="333"/>
      <c r="V24" s="315"/>
      <c r="W24" s="387"/>
      <c r="X24" s="316"/>
      <c r="Y24" s="315"/>
      <c r="Z24" s="315"/>
      <c r="AA24" s="315"/>
      <c r="AB24" s="315"/>
      <c r="AC24" s="315"/>
      <c r="AD24" s="342">
        <v>0</v>
      </c>
      <c r="AE24" s="784"/>
      <c r="AF24" s="763"/>
      <c r="AH24" s="406" t="e">
        <f>"ListeIntervenants"&amp;VLOOKUP(F24,'Intervenants et coûts-j'!$B$5:$C$12,2,FALSE)</f>
        <v>#N/A</v>
      </c>
      <c r="AI24" s="618">
        <f t="shared" si="13"/>
        <v>0</v>
      </c>
    </row>
    <row r="25" spans="1:35" s="407" customFormat="1" ht="13.5" thickBot="1" x14ac:dyDescent="0.3">
      <c r="A25" s="369" t="s">
        <v>100</v>
      </c>
      <c r="B25" s="370">
        <f>SUM(B12:B24)</f>
        <v>0</v>
      </c>
      <c r="C25" s="370">
        <f t="shared" ref="C25:D25" si="14">SUM(C12:C24)</f>
        <v>0</v>
      </c>
      <c r="D25" s="370">
        <f t="shared" si="14"/>
        <v>0</v>
      </c>
      <c r="E25" s="370"/>
      <c r="F25" s="370">
        <f>SUM(F12:F24)</f>
        <v>0</v>
      </c>
      <c r="G25" s="371" t="s">
        <v>57</v>
      </c>
      <c r="H25" s="372"/>
      <c r="I25" s="372"/>
      <c r="J25" s="373"/>
      <c r="K25" s="374"/>
      <c r="L25" s="375"/>
      <c r="M25" s="376"/>
      <c r="N25" s="376" t="s">
        <v>57</v>
      </c>
      <c r="O25" s="376">
        <f>SUM(O5:O24)</f>
        <v>0</v>
      </c>
      <c r="P25" s="376" t="s">
        <v>57</v>
      </c>
      <c r="Q25" s="377">
        <f>SUM(Q5:Q24)</f>
        <v>0</v>
      </c>
      <c r="R25" s="370"/>
      <c r="S25" s="370"/>
      <c r="T25" s="370"/>
      <c r="U25" s="370">
        <f>SUM(U12:U24)</f>
        <v>0</v>
      </c>
      <c r="V25" s="371" t="s">
        <v>57</v>
      </c>
      <c r="W25" s="372"/>
      <c r="X25" s="372"/>
      <c r="Y25" s="373"/>
      <c r="Z25" s="374"/>
      <c r="AA25" s="375"/>
      <c r="AB25" s="376"/>
      <c r="AC25" s="376" t="s">
        <v>57</v>
      </c>
      <c r="AD25" s="376">
        <f>SUM(AD5:AD24)</f>
        <v>0</v>
      </c>
      <c r="AE25" s="376" t="s">
        <v>57</v>
      </c>
      <c r="AF25" s="377">
        <f>SUM(AF5:AF24)</f>
        <v>0</v>
      </c>
    </row>
    <row r="28" spans="1:35" ht="12.75" customHeight="1" x14ac:dyDescent="0.25">
      <c r="F28" s="780" t="s">
        <v>81</v>
      </c>
      <c r="G28" s="781"/>
      <c r="H28" s="742" t="s">
        <v>167</v>
      </c>
      <c r="I28" s="743"/>
      <c r="J28" s="743"/>
      <c r="K28" s="743"/>
      <c r="L28" s="743"/>
      <c r="M28" s="743"/>
      <c r="N28" s="743"/>
      <c r="O28" s="744"/>
      <c r="U28" s="780" t="s">
        <v>81</v>
      </c>
      <c r="V28" s="781"/>
      <c r="W28" s="742" t="s">
        <v>167</v>
      </c>
      <c r="X28" s="743"/>
      <c r="Y28" s="743"/>
      <c r="Z28" s="743"/>
      <c r="AA28" s="743"/>
      <c r="AB28" s="743"/>
      <c r="AC28" s="743"/>
      <c r="AD28" s="744"/>
    </row>
    <row r="29" spans="1:35" x14ac:dyDescent="0.25">
      <c r="F29" s="747" t="s">
        <v>43</v>
      </c>
      <c r="G29" s="748"/>
      <c r="H29" s="159">
        <f>'Dép.volet 2-Animation-2024-2025'!E76</f>
        <v>0</v>
      </c>
      <c r="I29" s="159" t="str">
        <f>'Dép.volet 2-Animation-2024-2025'!F76</f>
        <v>-</v>
      </c>
      <c r="J29" s="159" t="str">
        <f>'Dép.volet 2-Animation-2024-2025'!G76</f>
        <v>-</v>
      </c>
      <c r="K29" s="159" t="str">
        <f>'Dép.volet 2-Animation-2024-2025'!H76</f>
        <v>-</v>
      </c>
      <c r="L29" s="159" t="str">
        <f>'Dép.volet 2-Animation-2024-2025'!I76</f>
        <v>-</v>
      </c>
      <c r="M29" s="159" t="str">
        <f>'Dép.volet 2-Animation-2024-2025'!J76</f>
        <v>-</v>
      </c>
      <c r="N29" s="159" t="str">
        <f>'Dép.volet 2-Animation-2024-2025'!K76</f>
        <v>-</v>
      </c>
      <c r="O29" s="242" t="str">
        <f>'Dép.volet 2-Animation-2024-2025'!L76</f>
        <v>-</v>
      </c>
      <c r="U29" s="747" t="s">
        <v>43</v>
      </c>
      <c r="V29" s="748"/>
      <c r="W29" s="159">
        <f t="shared" ref="W29:AD29" si="15">H29</f>
        <v>0</v>
      </c>
      <c r="X29" s="159" t="str">
        <f t="shared" si="15"/>
        <v>-</v>
      </c>
      <c r="Y29" s="159" t="str">
        <f t="shared" si="15"/>
        <v>-</v>
      </c>
      <c r="Z29" s="159" t="str">
        <f t="shared" si="15"/>
        <v>-</v>
      </c>
      <c r="AA29" s="159" t="str">
        <f t="shared" si="15"/>
        <v>-</v>
      </c>
      <c r="AB29" s="159" t="str">
        <f t="shared" si="15"/>
        <v>-</v>
      </c>
      <c r="AC29" s="159" t="str">
        <f t="shared" si="15"/>
        <v>-</v>
      </c>
      <c r="AD29" s="242" t="str">
        <f t="shared" si="15"/>
        <v>-</v>
      </c>
    </row>
    <row r="30" spans="1:35" x14ac:dyDescent="0.25">
      <c r="F30" s="806" t="s">
        <v>68</v>
      </c>
      <c r="G30" s="807"/>
      <c r="H30" s="246">
        <f>SUMIF($F$5:$F$24,H29,$L$5:$L$24)</f>
        <v>0</v>
      </c>
      <c r="I30" s="246">
        <f t="shared" ref="I30:O30" si="16">SUMIF($F$5:$F$24,I29,$L$5:$L$24)</f>
        <v>0</v>
      </c>
      <c r="J30" s="246">
        <f t="shared" si="16"/>
        <v>0</v>
      </c>
      <c r="K30" s="246">
        <f t="shared" si="16"/>
        <v>0</v>
      </c>
      <c r="L30" s="246">
        <f t="shared" si="16"/>
        <v>0</v>
      </c>
      <c r="M30" s="246">
        <f t="shared" si="16"/>
        <v>0</v>
      </c>
      <c r="N30" s="246">
        <f t="shared" si="16"/>
        <v>0</v>
      </c>
      <c r="O30" s="246">
        <f t="shared" si="16"/>
        <v>0</v>
      </c>
      <c r="U30" s="806" t="s">
        <v>68</v>
      </c>
      <c r="V30" s="807"/>
      <c r="W30" s="246">
        <f t="shared" ref="W30:AD30" si="17">SUMIF($F$5:$F$24,W29,$AA$5:$AA$24)</f>
        <v>0</v>
      </c>
      <c r="X30" s="246">
        <f t="shared" si="17"/>
        <v>0</v>
      </c>
      <c r="Y30" s="246">
        <f t="shared" si="17"/>
        <v>0</v>
      </c>
      <c r="Z30" s="246">
        <f t="shared" si="17"/>
        <v>0</v>
      </c>
      <c r="AA30" s="246">
        <f t="shared" si="17"/>
        <v>0</v>
      </c>
      <c r="AB30" s="246">
        <f t="shared" si="17"/>
        <v>0</v>
      </c>
      <c r="AC30" s="246">
        <f t="shared" si="17"/>
        <v>0</v>
      </c>
      <c r="AD30" s="325">
        <f t="shared" si="17"/>
        <v>0</v>
      </c>
    </row>
    <row r="31" spans="1:35" x14ac:dyDescent="0.25">
      <c r="A31" s="37"/>
      <c r="B31" s="37"/>
      <c r="C31" s="37"/>
      <c r="D31" s="37"/>
      <c r="E31" s="37"/>
      <c r="F31" s="808" t="s">
        <v>67</v>
      </c>
      <c r="G31" s="809"/>
      <c r="H31" s="163">
        <f>SUMIF($F$5:$F$24,H29,$M$5:$M$24)</f>
        <v>0</v>
      </c>
      <c r="I31" s="163">
        <f t="shared" ref="I31:O31" si="18">SUMIF($F$5:$F$24,I29,$M$5:$M$24)</f>
        <v>0</v>
      </c>
      <c r="J31" s="163">
        <f t="shared" si="18"/>
        <v>0</v>
      </c>
      <c r="K31" s="163">
        <f t="shared" si="18"/>
        <v>0</v>
      </c>
      <c r="L31" s="163">
        <f t="shared" si="18"/>
        <v>0</v>
      </c>
      <c r="M31" s="163">
        <f t="shared" si="18"/>
        <v>0</v>
      </c>
      <c r="N31" s="163">
        <f t="shared" si="18"/>
        <v>0</v>
      </c>
      <c r="O31" s="163">
        <f t="shared" si="18"/>
        <v>0</v>
      </c>
      <c r="P31" s="323"/>
      <c r="R31" s="37"/>
      <c r="S31" s="37"/>
      <c r="T31" s="37"/>
      <c r="U31" s="808" t="s">
        <v>67</v>
      </c>
      <c r="V31" s="809"/>
      <c r="W31" s="163">
        <f t="shared" ref="W31:AD31" si="19">SUMIF($F$5:$F$24,W29,$AB$5:$AB$24)</f>
        <v>0</v>
      </c>
      <c r="X31" s="163">
        <f t="shared" si="19"/>
        <v>0</v>
      </c>
      <c r="Y31" s="163">
        <f t="shared" si="19"/>
        <v>0</v>
      </c>
      <c r="Z31" s="163">
        <f t="shared" si="19"/>
        <v>0</v>
      </c>
      <c r="AA31" s="163">
        <f t="shared" si="19"/>
        <v>0</v>
      </c>
      <c r="AB31" s="163">
        <f t="shared" si="19"/>
        <v>0</v>
      </c>
      <c r="AC31" s="163">
        <f t="shared" si="19"/>
        <v>0</v>
      </c>
      <c r="AD31" s="326">
        <f t="shared" si="19"/>
        <v>0</v>
      </c>
      <c r="AE31" s="323"/>
    </row>
    <row r="32" spans="1:35" x14ac:dyDescent="0.25">
      <c r="A32" s="378"/>
      <c r="B32" s="378"/>
      <c r="C32" s="378"/>
      <c r="D32" s="378"/>
      <c r="E32" s="378"/>
      <c r="F32" s="808" t="s">
        <v>66</v>
      </c>
      <c r="G32" s="809"/>
      <c r="H32" s="163">
        <f>SUMIF($F$5:$F$24,H29,$N$5:$N$24)</f>
        <v>0</v>
      </c>
      <c r="I32" s="163">
        <f t="shared" ref="I32:O32" si="20">SUMIF($F$5:$F$24,I29,$N$5:$N$24)</f>
        <v>0</v>
      </c>
      <c r="J32" s="163">
        <f t="shared" si="20"/>
        <v>0</v>
      </c>
      <c r="K32" s="163">
        <f t="shared" si="20"/>
        <v>0</v>
      </c>
      <c r="L32" s="163">
        <f t="shared" si="20"/>
        <v>0</v>
      </c>
      <c r="M32" s="163">
        <f t="shared" si="20"/>
        <v>0</v>
      </c>
      <c r="N32" s="163">
        <f t="shared" si="20"/>
        <v>0</v>
      </c>
      <c r="O32" s="163">
        <f t="shared" si="20"/>
        <v>0</v>
      </c>
      <c r="P32" s="324"/>
      <c r="R32" s="378"/>
      <c r="S32" s="378"/>
      <c r="T32" s="378"/>
      <c r="U32" s="808" t="s">
        <v>66</v>
      </c>
      <c r="V32" s="809"/>
      <c r="W32" s="163">
        <f t="shared" ref="W32:AD32" si="21">SUMIF($F$5:$F$24,W29,$AC$5:$AC$24)</f>
        <v>0</v>
      </c>
      <c r="X32" s="163">
        <f t="shared" si="21"/>
        <v>0</v>
      </c>
      <c r="Y32" s="163">
        <f t="shared" si="21"/>
        <v>0</v>
      </c>
      <c r="Z32" s="163">
        <f t="shared" si="21"/>
        <v>0</v>
      </c>
      <c r="AA32" s="163">
        <f t="shared" si="21"/>
        <v>0</v>
      </c>
      <c r="AB32" s="163">
        <f t="shared" si="21"/>
        <v>0</v>
      </c>
      <c r="AC32" s="163">
        <f t="shared" si="21"/>
        <v>0</v>
      </c>
      <c r="AD32" s="326">
        <f t="shared" si="21"/>
        <v>0</v>
      </c>
      <c r="AE32" s="324"/>
    </row>
    <row r="33" spans="1:34" x14ac:dyDescent="0.25">
      <c r="A33" s="44"/>
      <c r="B33" s="44"/>
      <c r="C33" s="44"/>
      <c r="D33" s="44"/>
      <c r="E33" s="44"/>
      <c r="F33" s="800" t="s">
        <v>65</v>
      </c>
      <c r="G33" s="801"/>
      <c r="H33" s="167">
        <f>SUM(O22:O24)</f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27">
        <v>0</v>
      </c>
      <c r="P33" s="176"/>
      <c r="R33" s="44"/>
      <c r="S33" s="44"/>
      <c r="T33" s="44"/>
      <c r="U33" s="800" t="s">
        <v>65</v>
      </c>
      <c r="V33" s="801"/>
      <c r="W33" s="167">
        <f>SUM(AD22:AD24)</f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327">
        <v>0</v>
      </c>
      <c r="AE33" s="176"/>
    </row>
    <row r="34" spans="1:34" x14ac:dyDescent="0.25">
      <c r="A34" s="113"/>
      <c r="B34" s="113"/>
      <c r="C34" s="113"/>
      <c r="D34" s="113"/>
      <c r="E34" s="113"/>
      <c r="F34" s="802" t="s">
        <v>193</v>
      </c>
      <c r="G34" s="803"/>
      <c r="H34" s="239">
        <f>SUM(H30:H33)</f>
        <v>0</v>
      </c>
      <c r="I34" s="240">
        <f>SUM(I30:I33)</f>
        <v>0</v>
      </c>
      <c r="J34" s="240">
        <f t="shared" ref="J34:O34" si="22">SUM(J30:J33)</f>
        <v>0</v>
      </c>
      <c r="K34" s="240">
        <f t="shared" si="22"/>
        <v>0</v>
      </c>
      <c r="L34" s="240">
        <f>SUM(L30:L33)</f>
        <v>0</v>
      </c>
      <c r="M34" s="240">
        <f t="shared" si="22"/>
        <v>0</v>
      </c>
      <c r="N34" s="240">
        <f t="shared" si="22"/>
        <v>0</v>
      </c>
      <c r="O34" s="241">
        <f t="shared" si="22"/>
        <v>0</v>
      </c>
      <c r="P34" s="295"/>
      <c r="R34" s="113"/>
      <c r="S34" s="113"/>
      <c r="T34" s="113"/>
      <c r="U34" s="802" t="s">
        <v>74</v>
      </c>
      <c r="V34" s="803"/>
      <c r="W34" s="239">
        <f>SUM(W30:W33)</f>
        <v>0</v>
      </c>
      <c r="X34" s="240">
        <f>SUM(X30:X33)</f>
        <v>0</v>
      </c>
      <c r="Y34" s="240">
        <f t="shared" ref="Y34:Z34" si="23">SUM(Y30:Y33)</f>
        <v>0</v>
      </c>
      <c r="Z34" s="240">
        <f t="shared" si="23"/>
        <v>0</v>
      </c>
      <c r="AA34" s="240">
        <f>SUM(AA30:AA33)</f>
        <v>0</v>
      </c>
      <c r="AB34" s="240">
        <f t="shared" ref="AB34:AD34" si="24">SUM(AB30:AB33)</f>
        <v>0</v>
      </c>
      <c r="AC34" s="240">
        <f t="shared" si="24"/>
        <v>0</v>
      </c>
      <c r="AD34" s="241">
        <f t="shared" si="24"/>
        <v>0</v>
      </c>
      <c r="AE34" s="295"/>
    </row>
    <row r="35" spans="1:34" x14ac:dyDescent="0.25">
      <c r="A35" s="113"/>
      <c r="B35" s="113"/>
      <c r="C35" s="113"/>
      <c r="D35" s="113"/>
      <c r="E35" s="113"/>
      <c r="F35" s="804" t="s">
        <v>262</v>
      </c>
      <c r="G35" s="805"/>
      <c r="H35" s="249">
        <f>SUMIF($F$5:$F$21,H29,$AI$5:$AI$21)+SUM(AI22:AI24)</f>
        <v>0</v>
      </c>
      <c r="I35" s="249">
        <f>SUMIF($F$5:$F$21,I29,$AI$5:$AI$21)</f>
        <v>0</v>
      </c>
      <c r="J35" s="249">
        <f t="shared" ref="J35:O35" si="25">SUMIF($F$5:$F$21,J29,$AI$5:$AI$21)</f>
        <v>0</v>
      </c>
      <c r="K35" s="249">
        <f t="shared" si="25"/>
        <v>0</v>
      </c>
      <c r="L35" s="249">
        <f t="shared" si="25"/>
        <v>0</v>
      </c>
      <c r="M35" s="249">
        <f t="shared" si="25"/>
        <v>0</v>
      </c>
      <c r="N35" s="249">
        <f t="shared" si="25"/>
        <v>0</v>
      </c>
      <c r="O35" s="249">
        <f t="shared" si="25"/>
        <v>0</v>
      </c>
      <c r="P35" s="295"/>
      <c r="R35" s="113"/>
      <c r="S35" s="113"/>
      <c r="T35" s="113"/>
      <c r="U35" s="804" t="s">
        <v>178</v>
      </c>
      <c r="V35" s="805"/>
      <c r="W35" s="249">
        <f>IF(AD25=0,0,SUMIF(U5:U11,W29,AD5:AD11)+(SUMIF(U15:U21,W29,AD15:AD21)+SUM(AD22:AD24))*AF15/SUM(AD15:AD24))</f>
        <v>0</v>
      </c>
      <c r="X35" s="249">
        <f>IF(AD25=0,0,SUMIF($U$5:$U$11,X29,$AD$5:$AD$11)+(SUMIF($U$15:$U$21,X29,$AD$15:$AD$21))*$AF$15/SUM($AD$15:$AD$24))</f>
        <v>0</v>
      </c>
      <c r="Y35" s="249">
        <f>IF(AD25=0,0,SUMIF($U$5:$U$11,Y29,$AD$5:$AD$11)+(SUMIF($U$15:$U$21,Y29,$AD$15:$AD$21))*$AF$15/SUM($AD$15:$AD$24))</f>
        <v>0</v>
      </c>
      <c r="Z35" s="249">
        <f>IF(AD25=0,0,SUMIF($U$5:$U$11,Z29,$AD$5:$AD$11)+(SUMIF($U$15:$U$21,Z29,$AD$15:$AD$21))*$AF$15/SUM($AD$15:$AD$24))</f>
        <v>0</v>
      </c>
      <c r="AA35" s="249">
        <f>IF(AD25=0,0,SUMIF($U$5:$U$11,AA29,$AD$5:$AD$11)+(SUMIF($U$15:$U$21,AA29,$AD$15:$AD$21))*$AF$15/SUM($AD$15:$AD$24))</f>
        <v>0</v>
      </c>
      <c r="AB35" s="249">
        <f>IF(AD25=0,0,SUMIF($U$5:$U$11,AB29,$AD$5:$AD$11)+(SUMIF($U$15:$U$21,AB29,$AD$15:$AD$21))*$AF$15/SUM($AD$15:$AD$24))</f>
        <v>0</v>
      </c>
      <c r="AC35" s="249">
        <f>IF(AD25=0,0,SUMIF($U$5:$U$11,AC29,$AD$5:$AD$11)+(SUMIF($U$15:$U$21,AC29,$AD$15:$AD$21))*$AF$15/SUM($AD$15:$AD$24))</f>
        <v>0</v>
      </c>
      <c r="AD35" s="250">
        <f>IF(AD25=0,0,SUMIF($U$5:$U$11,AD29,$AD$5:$AD$11)+(SUMIF($U$15:$U$21,AD29,$AD$15:$AD$21))*$AF$15/SUM($AD$15:$AD$24))</f>
        <v>0</v>
      </c>
      <c r="AE35" s="295"/>
    </row>
    <row r="36" spans="1:34" x14ac:dyDescent="0.25">
      <c r="A36" s="113"/>
      <c r="B36" s="113"/>
      <c r="C36" s="113"/>
      <c r="D36" s="113"/>
      <c r="E36" s="113"/>
      <c r="F36" s="113"/>
      <c r="G36" s="113"/>
      <c r="H36" s="425"/>
      <c r="I36" s="408"/>
      <c r="J36" s="408"/>
      <c r="K36" s="176"/>
      <c r="L36" s="176"/>
      <c r="M36" s="176"/>
      <c r="N36" s="176"/>
      <c r="O36" s="296"/>
      <c r="P36" s="176"/>
      <c r="R36" s="113"/>
      <c r="S36" s="113"/>
      <c r="T36" s="113"/>
      <c r="U36" s="113"/>
      <c r="V36" s="113"/>
      <c r="W36" s="425"/>
      <c r="X36" s="408"/>
      <c r="Y36" s="408"/>
      <c r="Z36" s="176"/>
      <c r="AA36" s="176"/>
      <c r="AB36" s="176"/>
      <c r="AC36" s="176"/>
      <c r="AD36" s="296"/>
      <c r="AE36" s="176"/>
    </row>
    <row r="37" spans="1:34" s="18" customFormat="1" ht="18" customHeight="1" x14ac:dyDescent="0.2">
      <c r="A37" s="511"/>
      <c r="B37" s="524"/>
      <c r="C37" s="512"/>
      <c r="D37" s="512"/>
      <c r="E37" s="512"/>
      <c r="F37" s="513"/>
      <c r="I37" s="188"/>
      <c r="J37" s="187"/>
      <c r="K37" s="187"/>
    </row>
    <row r="38" spans="1:34" s="18" customFormat="1" ht="18" customHeight="1" x14ac:dyDescent="0.2">
      <c r="A38" s="514" t="s">
        <v>237</v>
      </c>
      <c r="B38" s="9" t="s">
        <v>242</v>
      </c>
      <c r="F38" s="515"/>
      <c r="I38" s="188"/>
      <c r="J38" s="187"/>
      <c r="K38" s="187"/>
    </row>
    <row r="39" spans="1:34" s="18" customFormat="1" ht="18" customHeight="1" x14ac:dyDescent="0.2">
      <c r="A39" s="514" t="s">
        <v>239</v>
      </c>
      <c r="B39" s="9" t="s">
        <v>242</v>
      </c>
      <c r="E39" s="379"/>
      <c r="F39" s="515"/>
      <c r="I39" s="188"/>
      <c r="J39" s="187"/>
      <c r="K39" s="187"/>
    </row>
    <row r="40" spans="1:34" s="18" customFormat="1" ht="18" customHeight="1" x14ac:dyDescent="0.2">
      <c r="A40" s="514" t="s">
        <v>240</v>
      </c>
      <c r="B40" s="9" t="s">
        <v>242</v>
      </c>
      <c r="E40" s="381"/>
      <c r="F40" s="516"/>
      <c r="I40" s="188"/>
      <c r="J40" s="187"/>
      <c r="K40" s="187"/>
    </row>
    <row r="41" spans="1:34" s="18" customFormat="1" ht="18" customHeight="1" x14ac:dyDescent="0.2">
      <c r="A41" s="514" t="s">
        <v>241</v>
      </c>
      <c r="E41" s="521" t="s">
        <v>238</v>
      </c>
      <c r="F41" s="517"/>
      <c r="I41" s="188"/>
      <c r="J41" s="187"/>
      <c r="K41" s="187"/>
    </row>
    <row r="42" spans="1:34" s="18" customFormat="1" x14ac:dyDescent="0.2">
      <c r="A42" s="525"/>
      <c r="B42" s="523"/>
      <c r="E42" s="345"/>
      <c r="F42" s="517"/>
      <c r="I42" s="188"/>
      <c r="J42" s="187"/>
      <c r="K42" s="187"/>
    </row>
    <row r="43" spans="1:34" s="18" customFormat="1" x14ac:dyDescent="0.2">
      <c r="A43" s="525"/>
      <c r="B43" s="523"/>
      <c r="E43" s="345"/>
      <c r="F43" s="517"/>
      <c r="I43" s="188"/>
      <c r="J43" s="187"/>
      <c r="K43" s="187"/>
    </row>
    <row r="44" spans="1:34" s="18" customFormat="1" x14ac:dyDescent="0.2">
      <c r="A44" s="526"/>
      <c r="B44" s="519"/>
      <c r="C44" s="519"/>
      <c r="D44" s="519"/>
      <c r="E44" s="519"/>
      <c r="F44" s="520"/>
      <c r="I44" s="188"/>
      <c r="J44" s="187"/>
      <c r="K44" s="187"/>
    </row>
    <row r="45" spans="1:34" x14ac:dyDescent="0.25">
      <c r="A45" s="409"/>
      <c r="B45" s="409"/>
      <c r="C45" s="409"/>
      <c r="D45" s="409"/>
      <c r="E45" s="409"/>
      <c r="F45" s="409"/>
      <c r="G45" s="409"/>
      <c r="H45" s="410"/>
      <c r="I45" s="411"/>
      <c r="J45" s="411"/>
      <c r="K45" s="296"/>
      <c r="L45" s="296"/>
      <c r="M45" s="296"/>
      <c r="N45" s="296"/>
      <c r="O45" s="296"/>
      <c r="P45" s="296"/>
      <c r="R45" s="409"/>
      <c r="S45" s="409"/>
      <c r="T45" s="409"/>
      <c r="U45" s="409"/>
      <c r="V45" s="409"/>
      <c r="W45" s="410"/>
      <c r="X45" s="411"/>
      <c r="Y45" s="411"/>
      <c r="Z45" s="296"/>
      <c r="AA45" s="296"/>
      <c r="AB45" s="296"/>
      <c r="AC45" s="296"/>
      <c r="AD45" s="296"/>
      <c r="AE45" s="296"/>
    </row>
    <row r="46" spans="1:34" x14ac:dyDescent="0.25">
      <c r="N46" s="412"/>
      <c r="O46" s="412"/>
      <c r="P46" s="413"/>
      <c r="Q46" s="413"/>
      <c r="AC46" s="412"/>
      <c r="AD46" s="412"/>
      <c r="AE46" s="413"/>
      <c r="AF46" s="413"/>
      <c r="AG46" s="413"/>
      <c r="AH46" s="413"/>
    </row>
    <row r="47" spans="1:34" x14ac:dyDescent="0.25">
      <c r="A47" s="383" t="s">
        <v>2</v>
      </c>
      <c r="B47" s="576">
        <f>Identification!E30</f>
        <v>0</v>
      </c>
      <c r="C47" s="577"/>
      <c r="D47" s="577"/>
      <c r="R47" s="383"/>
      <c r="S47" s="384"/>
      <c r="T47" s="384"/>
      <c r="U47" s="291">
        <f>Identification!Q30</f>
        <v>0</v>
      </c>
      <c r="V47" s="292"/>
      <c r="W47" s="292"/>
    </row>
    <row r="48" spans="1:34" x14ac:dyDescent="0.25">
      <c r="A48" s="383" t="s">
        <v>3</v>
      </c>
      <c r="B48" s="578">
        <f>Identification!E31</f>
        <v>0</v>
      </c>
      <c r="C48" s="579"/>
      <c r="D48" s="579"/>
      <c r="R48" s="383"/>
      <c r="S48" s="384"/>
      <c r="T48" s="384"/>
      <c r="U48" s="293">
        <f>Identification!Q31</f>
        <v>0</v>
      </c>
      <c r="V48" s="294"/>
      <c r="W48" s="294"/>
    </row>
  </sheetData>
  <sheetProtection password="B19B" sheet="1" selectLockedCells="1"/>
  <mergeCells count="55">
    <mergeCell ref="U35:V35"/>
    <mergeCell ref="R5:R11"/>
    <mergeCell ref="R12:R14"/>
    <mergeCell ref="U29:V29"/>
    <mergeCell ref="U30:V30"/>
    <mergeCell ref="U31:V31"/>
    <mergeCell ref="U32:V32"/>
    <mergeCell ref="U33:V33"/>
    <mergeCell ref="U34:V34"/>
    <mergeCell ref="U28:V28"/>
    <mergeCell ref="S5:S11"/>
    <mergeCell ref="T5:T11"/>
    <mergeCell ref="S12:S14"/>
    <mergeCell ref="T12:T14"/>
    <mergeCell ref="S15:S24"/>
    <mergeCell ref="T15:T24"/>
    <mergeCell ref="AE5:AE11"/>
    <mergeCell ref="AF5:AF11"/>
    <mergeCell ref="AE12:AE14"/>
    <mergeCell ref="AF12:AF14"/>
    <mergeCell ref="AE15:AE24"/>
    <mergeCell ref="AF15:AF24"/>
    <mergeCell ref="W28:AD28"/>
    <mergeCell ref="E15:E21"/>
    <mergeCell ref="E22:E24"/>
    <mergeCell ref="A12:A14"/>
    <mergeCell ref="E5:E11"/>
    <mergeCell ref="P5:P11"/>
    <mergeCell ref="Q5:Q11"/>
    <mergeCell ref="A5:A11"/>
    <mergeCell ref="B12:B14"/>
    <mergeCell ref="B5:B11"/>
    <mergeCell ref="E12:E14"/>
    <mergeCell ref="F28:G28"/>
    <mergeCell ref="H28:O28"/>
    <mergeCell ref="R15:R24"/>
    <mergeCell ref="P12:P14"/>
    <mergeCell ref="Q12:Q14"/>
    <mergeCell ref="F33:G33"/>
    <mergeCell ref="F34:G34"/>
    <mergeCell ref="F35:G35"/>
    <mergeCell ref="F30:G30"/>
    <mergeCell ref="F31:G31"/>
    <mergeCell ref="F32:G32"/>
    <mergeCell ref="F29:G29"/>
    <mergeCell ref="A15:A24"/>
    <mergeCell ref="B15:B24"/>
    <mergeCell ref="P15:P24"/>
    <mergeCell ref="Q15:Q24"/>
    <mergeCell ref="C5:C11"/>
    <mergeCell ref="D5:D11"/>
    <mergeCell ref="C12:C14"/>
    <mergeCell ref="D12:D14"/>
    <mergeCell ref="C15:C24"/>
    <mergeCell ref="D15:D24"/>
  </mergeCells>
  <dataValidations count="4">
    <dataValidation type="list" allowBlank="1" showInputMessage="1" showErrorMessage="1" sqref="V15:V21 V5:V11">
      <formula1>INDIRECT(AT5)</formula1>
    </dataValidation>
    <dataValidation type="list" allowBlank="1" showInputMessage="1" showErrorMessage="1" sqref="F22:F24 U22:U24">
      <formula1>RefPresta</formula1>
    </dataValidation>
    <dataValidation type="list" allowBlank="1" showInputMessage="1" showErrorMessage="1" sqref="F5:F11 F15:F21 U5:U11 U15:U21">
      <formula1>RefStructures</formula1>
    </dataValidation>
    <dataValidation type="list" allowBlank="1" showInputMessage="1" showErrorMessage="1" sqref="G5:G11 G15:G21">
      <formula1>INDIRECT(AH5)</formula1>
    </dataValidation>
  </dataValidations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T59"/>
  <sheetViews>
    <sheetView zoomScaleNormal="100" workbookViewId="0">
      <selection activeCell="B9" sqref="B9"/>
    </sheetView>
  </sheetViews>
  <sheetFormatPr baseColWidth="10" defaultColWidth="11.42578125" defaultRowHeight="15" x14ac:dyDescent="0.25"/>
  <cols>
    <col min="1" max="1" width="47.85546875" customWidth="1"/>
    <col min="2" max="10" width="11.5703125" customWidth="1"/>
    <col min="11" max="20" width="11.42578125" style="157"/>
  </cols>
  <sheetData>
    <row r="1" spans="1:20" ht="15.75" x14ac:dyDescent="0.25">
      <c r="A1" s="701" t="s">
        <v>210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20" s="157" customFormat="1" x14ac:dyDescent="0.25"/>
    <row r="3" spans="1:20" s="9" customFormat="1" ht="12.75" x14ac:dyDescent="0.2"/>
    <row r="4" spans="1:20" s="10" customFormat="1" ht="12.75" customHeight="1" x14ac:dyDescent="0.2">
      <c r="A4" s="466"/>
      <c r="B4" s="823" t="s">
        <v>209</v>
      </c>
      <c r="C4" s="743"/>
      <c r="D4" s="743"/>
      <c r="E4" s="743"/>
      <c r="F4" s="743"/>
      <c r="G4" s="743"/>
      <c r="H4" s="743"/>
      <c r="I4" s="743"/>
      <c r="J4" s="744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51" customHeight="1" x14ac:dyDescent="0.2">
      <c r="A5" s="469" t="s">
        <v>79</v>
      </c>
      <c r="B5" s="159">
        <f>'Dép.volet 2-Animation-2024-2025'!E76</f>
        <v>0</v>
      </c>
      <c r="C5" s="21" t="str">
        <f>'Dép.volet 2-Animation-2024-2025'!F76</f>
        <v>-</v>
      </c>
      <c r="D5" s="21" t="str">
        <f>'Dép.volet 2-Animation-2024-2025'!G76</f>
        <v>-</v>
      </c>
      <c r="E5" s="21" t="str">
        <f>'Dép.volet 2-Animation-2024-2025'!H76</f>
        <v>-</v>
      </c>
      <c r="F5" s="21" t="str">
        <f>'Dép.volet 2-Animation-2024-2025'!I76</f>
        <v>-</v>
      </c>
      <c r="G5" s="21" t="str">
        <f>'Dép.volet 2-Animation-2024-2025'!J76</f>
        <v>-</v>
      </c>
      <c r="H5" s="21" t="str">
        <f>'Dép.volet 2-Animation-2024-2025'!K76</f>
        <v>-</v>
      </c>
      <c r="I5" s="21" t="str">
        <f>'Dép.volet 2-Animation-2024-2025'!L76</f>
        <v>-</v>
      </c>
      <c r="J5" s="158" t="s">
        <v>105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2.75" x14ac:dyDescent="0.2">
      <c r="A6" s="470" t="s">
        <v>192</v>
      </c>
      <c r="B6" s="480"/>
      <c r="C6" s="481"/>
      <c r="D6" s="481"/>
      <c r="E6" s="481"/>
      <c r="F6" s="481"/>
      <c r="G6" s="481"/>
      <c r="H6" s="481"/>
      <c r="I6" s="485"/>
      <c r="J6" s="476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2.75" x14ac:dyDescent="0.2">
      <c r="A7" s="471" t="s">
        <v>68</v>
      </c>
      <c r="B7" s="163" t="str">
        <f>IF('Dép.volet 2-Animation-2024-2025'!E77=0,"",'Dép.volet 2-Animation-2024-2025'!E77)</f>
        <v/>
      </c>
      <c r="C7" s="162" t="str">
        <f>IF('Dép.volet 2-Animation-2024-2025'!F77=0,"",'Dép.volet 2-Animation-2024-2025'!F77)</f>
        <v/>
      </c>
      <c r="D7" s="162" t="str">
        <f>IF('Dép.volet 2-Animation-2024-2025'!G77=0,"",'Dép.volet 2-Animation-2024-2025'!G77)</f>
        <v/>
      </c>
      <c r="E7" s="162" t="str">
        <f>IF('Dép.volet 2-Animation-2024-2025'!H77=0,"",'Dép.volet 2-Animation-2024-2025'!H77)</f>
        <v/>
      </c>
      <c r="F7" s="162" t="str">
        <f>IF('Dép.volet 2-Animation-2024-2025'!I77=0,"",'Dép.volet 2-Animation-2024-2025'!I77)</f>
        <v/>
      </c>
      <c r="G7" s="162" t="str">
        <f>IF('Dép.volet 2-Animation-2024-2025'!J77=0,"",'Dép.volet 2-Animation-2024-2025'!J77)</f>
        <v/>
      </c>
      <c r="H7" s="162" t="str">
        <f>IF('Dép.volet 2-Animation-2024-2025'!K77=0,"",'Dép.volet 2-Animation-2024-2025'!K77)</f>
        <v/>
      </c>
      <c r="I7" s="486" t="str">
        <f>IF('Dép.volet 2-Animation-2024-2025'!L77=0,"",'Dép.volet 2-Animation-2024-2025'!L77)</f>
        <v/>
      </c>
      <c r="J7" s="326">
        <f>SUM(B7:I7)</f>
        <v>0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12.75" x14ac:dyDescent="0.2">
      <c r="A8" s="471" t="s">
        <v>67</v>
      </c>
      <c r="B8" s="163" t="str">
        <f>IF('Dép.volet 2-Animation-2024-2025'!E78=0,"",'Dép.volet 2-Animation-2024-2025'!E78)</f>
        <v/>
      </c>
      <c r="C8" s="162" t="str">
        <f>IF('Dép.volet 2-Animation-2024-2025'!F78=0,"",'Dép.volet 2-Animation-2024-2025'!F78)</f>
        <v/>
      </c>
      <c r="D8" s="162" t="str">
        <f>IF('Dép.volet 2-Animation-2024-2025'!G78=0,"",'Dép.volet 2-Animation-2024-2025'!G78)</f>
        <v/>
      </c>
      <c r="E8" s="162" t="str">
        <f>IF('Dép.volet 2-Animation-2024-2025'!H78=0,"",'Dép.volet 2-Animation-2024-2025'!H78)</f>
        <v/>
      </c>
      <c r="F8" s="162" t="str">
        <f>IF('Dép.volet 2-Animation-2024-2025'!I78=0,"",'Dép.volet 2-Animation-2024-2025'!I78)</f>
        <v/>
      </c>
      <c r="G8" s="162" t="str">
        <f>IF('Dép.volet 2-Animation-2024-2025'!J78=0,"",'Dép.volet 2-Animation-2024-2025'!J78)</f>
        <v/>
      </c>
      <c r="H8" s="162" t="str">
        <f>IF('Dép.volet 2-Animation-2024-2025'!K78=0,"",'Dép.volet 2-Animation-2024-2025'!K78)</f>
        <v/>
      </c>
      <c r="I8" s="486" t="str">
        <f>IF('Dép.volet 2-Animation-2024-2025'!L78=0,"",'Dép.volet 2-Animation-2024-2025'!L78)</f>
        <v/>
      </c>
      <c r="J8" s="326">
        <f t="shared" ref="J8:J26" si="0">SUM(B8:I8)</f>
        <v>0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12.75" x14ac:dyDescent="0.2">
      <c r="A9" s="471" t="s">
        <v>66</v>
      </c>
      <c r="B9" s="163" t="str">
        <f>IF('Dép.volet 2-Animation-2024-2025'!E79=0,"",'Dép.volet 2-Animation-2024-2025'!E79)</f>
        <v/>
      </c>
      <c r="C9" s="162" t="str">
        <f>IF('Dép.volet 2-Animation-2024-2025'!F79=0,"",'Dép.volet 2-Animation-2024-2025'!F79)</f>
        <v/>
      </c>
      <c r="D9" s="162" t="str">
        <f>IF('Dép.volet 2-Animation-2024-2025'!G79=0,"",'Dép.volet 2-Animation-2024-2025'!G79)</f>
        <v/>
      </c>
      <c r="E9" s="162" t="str">
        <f>IF('Dép.volet 2-Animation-2024-2025'!H79=0,"",'Dép.volet 2-Animation-2024-2025'!H79)</f>
        <v/>
      </c>
      <c r="F9" s="162" t="str">
        <f>IF('Dép.volet 2-Animation-2024-2025'!I79=0,"",'Dép.volet 2-Animation-2024-2025'!I79)</f>
        <v/>
      </c>
      <c r="G9" s="162" t="str">
        <f>IF('Dép.volet 2-Animation-2024-2025'!J79=0,"",'Dép.volet 2-Animation-2024-2025'!J79)</f>
        <v/>
      </c>
      <c r="H9" s="162" t="str">
        <f>IF('Dép.volet 2-Animation-2024-2025'!K79=0,"",'Dép.volet 2-Animation-2024-2025'!K79)</f>
        <v/>
      </c>
      <c r="I9" s="486" t="str">
        <f>IF('Dép.volet 2-Animation-2024-2025'!L79=0,"",'Dép.volet 2-Animation-2024-2025'!L79)</f>
        <v/>
      </c>
      <c r="J9" s="326">
        <f t="shared" si="0"/>
        <v>0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12.75" x14ac:dyDescent="0.2">
      <c r="A10" s="472" t="s">
        <v>65</v>
      </c>
      <c r="B10" s="167" t="str">
        <f>IF('Dép.volet 2-Animation-2024-2025'!E80=0,"",'Dép.volet 2-Animation-2024-2025'!E80)</f>
        <v/>
      </c>
      <c r="C10" s="166" t="str">
        <f>IF('Dép.volet 2-Animation-2024-2025'!F80=0,"",'Dép.volet 2-Animation-2024-2025'!F80)</f>
        <v/>
      </c>
      <c r="D10" s="166" t="str">
        <f>IF('Dép.volet 2-Animation-2024-2025'!G80=0,"",'Dép.volet 2-Animation-2024-2025'!G80)</f>
        <v/>
      </c>
      <c r="E10" s="166" t="str">
        <f>IF('Dép.volet 2-Animation-2024-2025'!H80=0,"",'Dép.volet 2-Animation-2024-2025'!H80)</f>
        <v/>
      </c>
      <c r="F10" s="166" t="str">
        <f>IF('Dép.volet 2-Animation-2024-2025'!I80=0,"",'Dép.volet 2-Animation-2024-2025'!I80)</f>
        <v/>
      </c>
      <c r="G10" s="166" t="str">
        <f>IF('Dép.volet 2-Animation-2024-2025'!J80=0,"",'Dép.volet 2-Animation-2024-2025'!J80)</f>
        <v/>
      </c>
      <c r="H10" s="166" t="str">
        <f>IF('Dép.volet 2-Animation-2024-2025'!K80=0,"",'Dép.volet 2-Animation-2024-2025'!K80)</f>
        <v/>
      </c>
      <c r="I10" s="487" t="str">
        <f>IF('Dép.volet 2-Animation-2024-2025'!L80=0,"",'Dép.volet 2-Animation-2024-2025'!L80)</f>
        <v/>
      </c>
      <c r="J10" s="327">
        <f t="shared" si="0"/>
        <v>0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2.75" x14ac:dyDescent="0.2">
      <c r="A11" s="473" t="s">
        <v>73</v>
      </c>
      <c r="B11" s="172" t="str">
        <f>IF('Dép.volet 2-Animation-2024-2025'!E81=0,"",'Dép.volet 2-Animation-2024-2025'!E81)</f>
        <v/>
      </c>
      <c r="C11" s="173" t="str">
        <f>IF('Dép.volet 2-Animation-2024-2025'!F81=0,"",'Dép.volet 2-Animation-2024-2025'!F81)</f>
        <v/>
      </c>
      <c r="D11" s="173" t="str">
        <f>IF('Dép.volet 2-Animation-2024-2025'!G81=0,"",'Dép.volet 2-Animation-2024-2025'!G81)</f>
        <v/>
      </c>
      <c r="E11" s="173" t="str">
        <f>IF('Dép.volet 2-Animation-2024-2025'!H81=0,"",'Dép.volet 2-Animation-2024-2025'!H81)</f>
        <v/>
      </c>
      <c r="F11" s="173" t="str">
        <f>IF('Dép.volet 2-Animation-2024-2025'!I81=0,"",'Dép.volet 2-Animation-2024-2025'!I81)</f>
        <v/>
      </c>
      <c r="G11" s="173" t="str">
        <f>IF('Dép.volet 2-Animation-2024-2025'!J81=0,"",'Dép.volet 2-Animation-2024-2025'!J81)</f>
        <v/>
      </c>
      <c r="H11" s="173" t="str">
        <f>IF('Dép.volet 2-Animation-2024-2025'!K81=0,"",'Dép.volet 2-Animation-2024-2025'!K81)</f>
        <v/>
      </c>
      <c r="I11" s="482" t="str">
        <f>IF('Dép.volet 2-Animation-2024-2025'!L81=0,"",'Dép.volet 2-Animation-2024-2025'!L81)</f>
        <v/>
      </c>
      <c r="J11" s="477">
        <f t="shared" si="0"/>
        <v>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12.75" x14ac:dyDescent="0.2">
      <c r="A12" s="474" t="s">
        <v>196</v>
      </c>
      <c r="B12" s="172" t="str">
        <f>IF('Dép.volet 2-Animation-2024-2025'!E82=0,"",'Dép.volet 2-Animation-2024-2025'!E82)</f>
        <v/>
      </c>
      <c r="C12" s="173" t="str">
        <f>IF('Dép.volet 2-Animation-2024-2025'!F82=0,"",'Dép.volet 2-Animation-2024-2025'!F82)</f>
        <v/>
      </c>
      <c r="D12" s="173" t="str">
        <f>IF('Dép.volet 2-Animation-2024-2025'!G82=0,"",'Dép.volet 2-Animation-2024-2025'!G82)</f>
        <v/>
      </c>
      <c r="E12" s="173" t="str">
        <f>IF('Dép.volet 2-Animation-2024-2025'!H82=0,"",'Dép.volet 2-Animation-2024-2025'!H82)</f>
        <v/>
      </c>
      <c r="F12" s="173" t="str">
        <f>IF('Dép.volet 2-Animation-2024-2025'!I82=0,"",'Dép.volet 2-Animation-2024-2025'!I82)</f>
        <v/>
      </c>
      <c r="G12" s="173" t="str">
        <f>IF('Dép.volet 2-Animation-2024-2025'!J82=0,"",'Dép.volet 2-Animation-2024-2025'!J82)</f>
        <v/>
      </c>
      <c r="H12" s="173" t="str">
        <f>IF('Dép.volet 2-Animation-2024-2025'!K82=0,"",'Dép.volet 2-Animation-2024-2025'!K82)</f>
        <v/>
      </c>
      <c r="I12" s="482" t="str">
        <f>IF('Dép.volet 2-Animation-2024-2025'!L82=0,"",'Dép.volet 2-Animation-2024-2025'!L82)</f>
        <v/>
      </c>
      <c r="J12" s="477">
        <f t="shared" si="0"/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12.75" x14ac:dyDescent="0.2">
      <c r="A13" s="470" t="s">
        <v>80</v>
      </c>
      <c r="B13" s="480"/>
      <c r="C13" s="481"/>
      <c r="D13" s="481"/>
      <c r="E13" s="481"/>
      <c r="F13" s="481"/>
      <c r="G13" s="481"/>
      <c r="H13" s="481"/>
      <c r="I13" s="485"/>
      <c r="J13" s="476">
        <f t="shared" si="0"/>
        <v>0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10" customFormat="1" ht="12.75" x14ac:dyDescent="0.2">
      <c r="A14" s="471" t="s">
        <v>68</v>
      </c>
      <c r="B14" s="163" t="str">
        <f>IF('Dép. volet 3-Diag-2024-2025'!G40=0,"",'Dép. volet 3-Diag-2024-2025'!G40)</f>
        <v/>
      </c>
      <c r="C14" s="162" t="str">
        <f>IF('Dép. volet 3-Diag-2024-2025'!H40=0,"",'Dép. volet 3-Diag-2024-2025'!H40)</f>
        <v/>
      </c>
      <c r="D14" s="162" t="str">
        <f>IF('Dép. volet 3-Diag-2024-2025'!I40=0,"",'Dép. volet 3-Diag-2024-2025'!I40)</f>
        <v/>
      </c>
      <c r="E14" s="162" t="str">
        <f>IF('Dép. volet 3-Diag-2024-2025'!J40=0,"",'Dép. volet 3-Diag-2024-2025'!J40)</f>
        <v/>
      </c>
      <c r="F14" s="162" t="str">
        <f>IF('Dép. volet 3-Diag-2024-2025'!K40=0,"",'Dép. volet 3-Diag-2024-2025'!K40)</f>
        <v/>
      </c>
      <c r="G14" s="162" t="str">
        <f>IF('Dép. volet 3-Diag-2024-2025'!L40=0,"",'Dép. volet 3-Diag-2024-2025'!L40)</f>
        <v/>
      </c>
      <c r="H14" s="162" t="str">
        <f>IF('Dép. volet 3-Diag-2024-2025'!M40=0,"",'Dép. volet 3-Diag-2024-2025'!M40)</f>
        <v/>
      </c>
      <c r="I14" s="486" t="str">
        <f>IF('Dép. volet 3-Diag-2024-2025'!N40=0,"",'Dép. volet 3-Diag-2024-2025'!N40)</f>
        <v/>
      </c>
      <c r="J14" s="326">
        <f t="shared" si="0"/>
        <v>0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10" customFormat="1" ht="12.75" x14ac:dyDescent="0.2">
      <c r="A15" s="471" t="s">
        <v>67</v>
      </c>
      <c r="B15" s="163" t="str">
        <f>IF('Dép. volet 3-Diag-2024-2025'!G41=0,"",'Dép. volet 3-Diag-2024-2025'!G41)</f>
        <v/>
      </c>
      <c r="C15" s="162" t="str">
        <f>IF('Dép. volet 3-Diag-2024-2025'!H41=0,"",'Dép. volet 3-Diag-2024-2025'!H41)</f>
        <v/>
      </c>
      <c r="D15" s="162" t="str">
        <f>IF('Dép. volet 3-Diag-2024-2025'!I41=0,"",'Dép. volet 3-Diag-2024-2025'!I41)</f>
        <v/>
      </c>
      <c r="E15" s="162" t="str">
        <f>IF('Dép. volet 3-Diag-2024-2025'!J41=0,"",'Dép. volet 3-Diag-2024-2025'!J41)</f>
        <v/>
      </c>
      <c r="F15" s="162" t="str">
        <f>IF('Dép. volet 3-Diag-2024-2025'!K41=0,"",'Dép. volet 3-Diag-2024-2025'!K41)</f>
        <v/>
      </c>
      <c r="G15" s="162" t="str">
        <f>IF('Dép. volet 3-Diag-2024-2025'!L41=0,"",'Dép. volet 3-Diag-2024-2025'!L41)</f>
        <v/>
      </c>
      <c r="H15" s="162" t="str">
        <f>IF('Dép. volet 3-Diag-2024-2025'!M41=0,"",'Dép. volet 3-Diag-2024-2025'!M41)</f>
        <v/>
      </c>
      <c r="I15" s="486" t="str">
        <f>IF('Dép. volet 3-Diag-2024-2025'!N41=0,"",'Dép. volet 3-Diag-2024-2025'!N41)</f>
        <v/>
      </c>
      <c r="J15" s="326">
        <f t="shared" si="0"/>
        <v>0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10" customFormat="1" ht="12.75" x14ac:dyDescent="0.2">
      <c r="A16" s="471" t="s">
        <v>66</v>
      </c>
      <c r="B16" s="163" t="str">
        <f>IF('Dép. volet 3-Diag-2024-2025'!G42=0,"",'Dép. volet 3-Diag-2024-2025'!G42)</f>
        <v/>
      </c>
      <c r="C16" s="162" t="str">
        <f>IF('Dép. volet 3-Diag-2024-2025'!H42=0,"",'Dép. volet 3-Diag-2024-2025'!H42)</f>
        <v/>
      </c>
      <c r="D16" s="162" t="str">
        <f>IF('Dép. volet 3-Diag-2024-2025'!I42=0,"",'Dép. volet 3-Diag-2024-2025'!I42)</f>
        <v/>
      </c>
      <c r="E16" s="162" t="str">
        <f>IF('Dép. volet 3-Diag-2024-2025'!J42=0,"",'Dép. volet 3-Diag-2024-2025'!J42)</f>
        <v/>
      </c>
      <c r="F16" s="162" t="str">
        <f>IF('Dép. volet 3-Diag-2024-2025'!K42=0,"",'Dép. volet 3-Diag-2024-2025'!K42)</f>
        <v/>
      </c>
      <c r="G16" s="162" t="str">
        <f>IF('Dép. volet 3-Diag-2024-2025'!L42=0,"",'Dép. volet 3-Diag-2024-2025'!L42)</f>
        <v/>
      </c>
      <c r="H16" s="162" t="str">
        <f>IF('Dép. volet 3-Diag-2024-2025'!M42=0,"",'Dép. volet 3-Diag-2024-2025'!M42)</f>
        <v/>
      </c>
      <c r="I16" s="486" t="str">
        <f>IF('Dép. volet 3-Diag-2024-2025'!N42=0,"",'Dép. volet 3-Diag-2024-2025'!N42)</f>
        <v/>
      </c>
      <c r="J16" s="326">
        <f t="shared" si="0"/>
        <v>0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10" customFormat="1" ht="12.75" x14ac:dyDescent="0.2">
      <c r="A17" s="472" t="s">
        <v>101</v>
      </c>
      <c r="B17" s="167" t="str">
        <f>IF('Dép. volet 3-Diag-2024-2025'!G43=0,"",'Dép. volet 3-Diag-2024-2025'!G43)</f>
        <v/>
      </c>
      <c r="C17" s="166" t="str">
        <f>IF('Dép. volet 3-Diag-2024-2025'!H43=0,"",'Dép. volet 3-Diag-2024-2025'!H43)</f>
        <v/>
      </c>
      <c r="D17" s="166" t="str">
        <f>IF('Dép. volet 3-Diag-2024-2025'!I43=0,"",'Dép. volet 3-Diag-2024-2025'!I43)</f>
        <v/>
      </c>
      <c r="E17" s="166" t="str">
        <f>IF('Dép. volet 3-Diag-2024-2025'!J43=0,"",'Dép. volet 3-Diag-2024-2025'!J43)</f>
        <v/>
      </c>
      <c r="F17" s="166" t="str">
        <f>IF('Dép. volet 3-Diag-2024-2025'!K43=0,"",'Dép. volet 3-Diag-2024-2025'!K43)</f>
        <v/>
      </c>
      <c r="G17" s="166" t="str">
        <f>IF('Dép. volet 3-Diag-2024-2025'!L43=0,"",'Dép. volet 3-Diag-2024-2025'!L43)</f>
        <v/>
      </c>
      <c r="H17" s="166" t="str">
        <f>IF('Dép. volet 3-Diag-2024-2025'!M43=0,"",'Dép. volet 3-Diag-2024-2025'!M43)</f>
        <v/>
      </c>
      <c r="I17" s="487" t="str">
        <f>IF('Dép. volet 3-Diag-2024-2025'!N43=0,"",'Dép. volet 3-Diag-2024-2025'!N43)</f>
        <v/>
      </c>
      <c r="J17" s="327">
        <f t="shared" si="0"/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10" customFormat="1" ht="12.75" x14ac:dyDescent="0.2">
      <c r="A18" s="473" t="s">
        <v>74</v>
      </c>
      <c r="B18" s="172" t="str">
        <f>IF('Dép. volet 3-Diag-2024-2025'!G44=0,"",'Dép. volet 3-Diag-2024-2025'!G44)</f>
        <v/>
      </c>
      <c r="C18" s="173" t="str">
        <f>IF('Dép. volet 3-Diag-2024-2025'!H44=0,"",'Dép. volet 3-Diag-2024-2025'!H44)</f>
        <v/>
      </c>
      <c r="D18" s="173" t="str">
        <f>IF('Dép. volet 3-Diag-2024-2025'!I44=0,"",'Dép. volet 3-Diag-2024-2025'!I44)</f>
        <v/>
      </c>
      <c r="E18" s="173" t="str">
        <f>IF('Dép. volet 3-Diag-2024-2025'!J44=0,"",'Dép. volet 3-Diag-2024-2025'!J44)</f>
        <v/>
      </c>
      <c r="F18" s="173" t="str">
        <f>IF('Dép. volet 3-Diag-2024-2025'!K44=0,"",'Dép. volet 3-Diag-2024-2025'!K44)</f>
        <v/>
      </c>
      <c r="G18" s="173" t="str">
        <f>IF('Dép. volet 3-Diag-2024-2025'!L44=0,"",'Dép. volet 3-Diag-2024-2025'!L44)</f>
        <v/>
      </c>
      <c r="H18" s="173" t="str">
        <f>IF('Dép. volet 3-Diag-2024-2025'!M44=0,"",'Dép. volet 3-Diag-2024-2025'!M44)</f>
        <v/>
      </c>
      <c r="I18" s="482" t="str">
        <f>IF('Dép. volet 3-Diag-2024-2025'!N44=0,"",'Dép. volet 3-Diag-2024-2025'!N44)</f>
        <v/>
      </c>
      <c r="J18" s="477">
        <f t="shared" si="0"/>
        <v>0</v>
      </c>
      <c r="K18" s="9"/>
      <c r="L18" s="9"/>
      <c r="M18" s="527" t="s">
        <v>208</v>
      </c>
      <c r="N18" s="9"/>
      <c r="O18" s="9"/>
      <c r="P18" s="9"/>
      <c r="Q18" s="9"/>
      <c r="R18" s="9"/>
      <c r="S18" s="9"/>
      <c r="T18" s="9"/>
    </row>
    <row r="19" spans="1:20" s="10" customFormat="1" ht="12.75" x14ac:dyDescent="0.2">
      <c r="A19" s="474" t="s">
        <v>195</v>
      </c>
      <c r="B19" s="172" t="str">
        <f>IF('Dép. volet 3-Diag-2024-2025'!G45=0,"",'Dép. volet 3-Diag-2024-2025'!G45)</f>
        <v/>
      </c>
      <c r="C19" s="173" t="str">
        <f>IF('Dép. volet 3-Diag-2024-2025'!H45=0,"",'Dép. volet 3-Diag-2024-2025'!H45)</f>
        <v/>
      </c>
      <c r="D19" s="173" t="str">
        <f>IF('Dép. volet 3-Diag-2024-2025'!I45=0,"",'Dép. volet 3-Diag-2024-2025'!I45)</f>
        <v/>
      </c>
      <c r="E19" s="173" t="str">
        <f>IF('Dép. volet 3-Diag-2024-2025'!J45=0,"",'Dép. volet 3-Diag-2024-2025'!J45)</f>
        <v/>
      </c>
      <c r="F19" s="173" t="str">
        <f>IF('Dép. volet 3-Diag-2024-2025'!K45=0,"",'Dép. volet 3-Diag-2024-2025'!K45)</f>
        <v/>
      </c>
      <c r="G19" s="173" t="str">
        <f>IF('Dép. volet 3-Diag-2024-2025'!L45=0,"",'Dép. volet 3-Diag-2024-2025'!L45)</f>
        <v/>
      </c>
      <c r="H19" s="173" t="str">
        <f>IF('Dép. volet 3-Diag-2024-2025'!M45=0,"",'Dép. volet 3-Diag-2024-2025'!M45)</f>
        <v/>
      </c>
      <c r="I19" s="482" t="str">
        <f>IF('Dép. volet 3-Diag-2024-2025'!N45=0,"",'Dép. volet 3-Diag-2024-2025'!N45)</f>
        <v/>
      </c>
      <c r="J19" s="477">
        <f t="shared" si="0"/>
        <v>0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10" customFormat="1" ht="12.75" x14ac:dyDescent="0.2">
      <c r="A20" s="470" t="s">
        <v>190</v>
      </c>
      <c r="B20" s="480"/>
      <c r="C20" s="481"/>
      <c r="D20" s="481"/>
      <c r="E20" s="481"/>
      <c r="F20" s="481"/>
      <c r="G20" s="481"/>
      <c r="H20" s="481"/>
      <c r="I20" s="485"/>
      <c r="J20" s="476">
        <f t="shared" si="0"/>
        <v>0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10" customFormat="1" ht="12.75" x14ac:dyDescent="0.2">
      <c r="A21" s="471" t="s">
        <v>68</v>
      </c>
      <c r="B21" s="163" t="str">
        <f>IF('Dép.volet 4-Form-2023-2024-2025'!H30=0,"",'Dép.volet 4-Form-2023-2024-2025'!H30)</f>
        <v/>
      </c>
      <c r="C21" s="162" t="str">
        <f>IF('Dép.volet 4-Form-2023-2024-2025'!I30=0,"",'Dép.volet 4-Form-2023-2024-2025'!I30)</f>
        <v/>
      </c>
      <c r="D21" s="162" t="str">
        <f>IF('Dép.volet 4-Form-2023-2024-2025'!J30=0,"",'Dép.volet 4-Form-2023-2024-2025'!J30)</f>
        <v/>
      </c>
      <c r="E21" s="162" t="str">
        <f>IF('Dép.volet 4-Form-2023-2024-2025'!K30=0,"",'Dép.volet 4-Form-2023-2024-2025'!K30)</f>
        <v/>
      </c>
      <c r="F21" s="162" t="str">
        <f>IF('Dép.volet 4-Form-2023-2024-2025'!L30=0,"",'Dép.volet 4-Form-2023-2024-2025'!L30)</f>
        <v/>
      </c>
      <c r="G21" s="162" t="str">
        <f>IF('Dép.volet 4-Form-2023-2024-2025'!M30=0,"",'Dép.volet 4-Form-2023-2024-2025'!M30)</f>
        <v/>
      </c>
      <c r="H21" s="162" t="str">
        <f>IF('Dép.volet 4-Form-2023-2024-2025'!N30=0,"",'Dép.volet 4-Form-2023-2024-2025'!N30)</f>
        <v/>
      </c>
      <c r="I21" s="486" t="str">
        <f>IF('Dép.volet 4-Form-2023-2024-2025'!O30=0,"",'Dép.volet 4-Form-2023-2024-2025'!O30)</f>
        <v/>
      </c>
      <c r="J21" s="326">
        <f t="shared" si="0"/>
        <v>0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10" customFormat="1" ht="12.75" x14ac:dyDescent="0.2">
      <c r="A22" s="471" t="s">
        <v>67</v>
      </c>
      <c r="B22" s="483" t="str">
        <f>IF('Dép.volet 4-Form-2023-2024-2025'!H31=0,"",'Dép.volet 4-Form-2023-2024-2025'!H31)</f>
        <v/>
      </c>
      <c r="C22" s="213" t="str">
        <f>IF('Dép.volet 4-Form-2023-2024-2025'!I31=0,"",'Dép.volet 4-Form-2023-2024-2025'!I31)</f>
        <v/>
      </c>
      <c r="D22" s="213" t="str">
        <f>IF('Dép.volet 4-Form-2023-2024-2025'!J31=0,"",'Dép.volet 4-Form-2023-2024-2025'!J31)</f>
        <v/>
      </c>
      <c r="E22" s="213" t="str">
        <f>IF('Dép.volet 4-Form-2023-2024-2025'!K31=0,"",'Dép.volet 4-Form-2023-2024-2025'!K31)</f>
        <v/>
      </c>
      <c r="F22" s="213" t="str">
        <f>IF('Dép.volet 4-Form-2023-2024-2025'!L31=0,"",'Dép.volet 4-Form-2023-2024-2025'!L31)</f>
        <v/>
      </c>
      <c r="G22" s="213" t="str">
        <f>IF('Dép.volet 4-Form-2023-2024-2025'!M31=0,"",'Dép.volet 4-Form-2023-2024-2025'!M31)</f>
        <v/>
      </c>
      <c r="H22" s="213" t="str">
        <f>IF('Dép.volet 4-Form-2023-2024-2025'!N31=0,"",'Dép.volet 4-Form-2023-2024-2025'!N31)</f>
        <v/>
      </c>
      <c r="I22" s="488" t="str">
        <f>IF('Dép.volet 4-Form-2023-2024-2025'!O31=0,"",'Dép.volet 4-Form-2023-2024-2025'!O31)</f>
        <v/>
      </c>
      <c r="J22" s="478">
        <f t="shared" si="0"/>
        <v>0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10" customFormat="1" ht="12.75" x14ac:dyDescent="0.2">
      <c r="A23" s="471" t="s">
        <v>66</v>
      </c>
      <c r="B23" s="483" t="str">
        <f>IF('Dép.volet 4-Form-2023-2024-2025'!H32=0,"",'Dép.volet 4-Form-2023-2024-2025'!H32)</f>
        <v/>
      </c>
      <c r="C23" s="213" t="str">
        <f>IF('Dép.volet 4-Form-2023-2024-2025'!I32=0,"",'Dép.volet 4-Form-2023-2024-2025'!I32)</f>
        <v/>
      </c>
      <c r="D23" s="213" t="str">
        <f>IF('Dép.volet 4-Form-2023-2024-2025'!J32=0,"",'Dép.volet 4-Form-2023-2024-2025'!J32)</f>
        <v/>
      </c>
      <c r="E23" s="213" t="str">
        <f>IF('Dép.volet 4-Form-2023-2024-2025'!K32=0,"",'Dép.volet 4-Form-2023-2024-2025'!K32)</f>
        <v/>
      </c>
      <c r="F23" s="213" t="str">
        <f>IF('Dép.volet 4-Form-2023-2024-2025'!L32=0,"",'Dép.volet 4-Form-2023-2024-2025'!L32)</f>
        <v/>
      </c>
      <c r="G23" s="213" t="str">
        <f>IF('Dép.volet 4-Form-2023-2024-2025'!M32=0,"",'Dép.volet 4-Form-2023-2024-2025'!M32)</f>
        <v/>
      </c>
      <c r="H23" s="213" t="str">
        <f>IF('Dép.volet 4-Form-2023-2024-2025'!N32=0,"",'Dép.volet 4-Form-2023-2024-2025'!N32)</f>
        <v/>
      </c>
      <c r="I23" s="488" t="str">
        <f>IF('Dép.volet 4-Form-2023-2024-2025'!O32=0,"",'Dép.volet 4-Form-2023-2024-2025'!O32)</f>
        <v/>
      </c>
      <c r="J23" s="478">
        <f t="shared" si="0"/>
        <v>0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10" customFormat="1" ht="12.75" x14ac:dyDescent="0.2">
      <c r="A24" s="472" t="s">
        <v>101</v>
      </c>
      <c r="B24" s="167" t="str">
        <f>IF('Dép.volet 4-Form-2023-2024-2025'!H33=0,"",'Dép.volet 4-Form-2023-2024-2025'!H33)</f>
        <v/>
      </c>
      <c r="C24" s="166" t="str">
        <f>IF('Dép.volet 4-Form-2023-2024-2025'!I33=0,"",'Dép.volet 4-Form-2023-2024-2025'!I33)</f>
        <v/>
      </c>
      <c r="D24" s="166" t="str">
        <f>IF('Dép.volet 4-Form-2023-2024-2025'!J33=0,"",'Dép.volet 4-Form-2023-2024-2025'!J33)</f>
        <v/>
      </c>
      <c r="E24" s="166" t="str">
        <f>IF('Dép.volet 4-Form-2023-2024-2025'!K33=0,"",'Dép.volet 4-Form-2023-2024-2025'!K33)</f>
        <v/>
      </c>
      <c r="F24" s="166" t="str">
        <f>IF('Dép.volet 4-Form-2023-2024-2025'!L33=0,"",'Dép.volet 4-Form-2023-2024-2025'!L33)</f>
        <v/>
      </c>
      <c r="G24" s="166" t="str">
        <f>IF('Dép.volet 4-Form-2023-2024-2025'!M33=0,"",'Dép.volet 4-Form-2023-2024-2025'!M33)</f>
        <v/>
      </c>
      <c r="H24" s="166" t="str">
        <f>IF('Dép.volet 4-Form-2023-2024-2025'!N33=0,"",'Dép.volet 4-Form-2023-2024-2025'!N33)</f>
        <v/>
      </c>
      <c r="I24" s="487" t="str">
        <f>IF('Dép.volet 4-Form-2023-2024-2025'!O33=0,"",'Dép.volet 4-Form-2023-2024-2025'!O33)</f>
        <v/>
      </c>
      <c r="J24" s="327">
        <f t="shared" si="0"/>
        <v>0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10" customFormat="1" ht="12.75" x14ac:dyDescent="0.2">
      <c r="A25" s="473" t="s">
        <v>193</v>
      </c>
      <c r="B25" s="172" t="str">
        <f>IF('Dép.volet 4-Form-2023-2024-2025'!H34=0,"",'Dép.volet 4-Form-2023-2024-2025'!H34)</f>
        <v/>
      </c>
      <c r="C25" s="173" t="str">
        <f>IF('Dép.volet 4-Form-2023-2024-2025'!I34=0,"",'Dép.volet 4-Form-2023-2024-2025'!I34)</f>
        <v/>
      </c>
      <c r="D25" s="173" t="str">
        <f>IF('Dép.volet 4-Form-2023-2024-2025'!J34=0,"",'Dép.volet 4-Form-2023-2024-2025'!J34)</f>
        <v/>
      </c>
      <c r="E25" s="173" t="str">
        <f>IF('Dép.volet 4-Form-2023-2024-2025'!K34=0,"",'Dép.volet 4-Form-2023-2024-2025'!K34)</f>
        <v/>
      </c>
      <c r="F25" s="173" t="str">
        <f>IF('Dép.volet 4-Form-2023-2024-2025'!L34=0,"",'Dép.volet 4-Form-2023-2024-2025'!L34)</f>
        <v/>
      </c>
      <c r="G25" s="173" t="str">
        <f>IF('Dép.volet 4-Form-2023-2024-2025'!M34=0,"",'Dép.volet 4-Form-2023-2024-2025'!M34)</f>
        <v/>
      </c>
      <c r="H25" s="173" t="str">
        <f>IF('Dép.volet 4-Form-2023-2024-2025'!N34=0,"",'Dép.volet 4-Form-2023-2024-2025'!N34)</f>
        <v/>
      </c>
      <c r="I25" s="482" t="str">
        <f>IF('Dép.volet 4-Form-2023-2024-2025'!O34=0,"",'Dép.volet 4-Form-2023-2024-2025'!O34)</f>
        <v/>
      </c>
      <c r="J25" s="477">
        <f t="shared" si="0"/>
        <v>0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10" customFormat="1" ht="12.75" x14ac:dyDescent="0.2">
      <c r="A26" s="474" t="s">
        <v>194</v>
      </c>
      <c r="B26" s="172" t="str">
        <f>IF('Dép.volet 4-Form-2023-2024-2025'!H35=0,"",'Dép.volet 4-Form-2023-2024-2025'!H35)</f>
        <v/>
      </c>
      <c r="C26" s="173" t="str">
        <f>IF('Dép.volet 4-Form-2023-2024-2025'!I35=0,"",'Dép.volet 4-Form-2023-2024-2025'!I35)</f>
        <v/>
      </c>
      <c r="D26" s="173" t="str">
        <f>IF('Dép.volet 4-Form-2023-2024-2025'!J35=0,"",'Dép.volet 4-Form-2023-2024-2025'!J35)</f>
        <v/>
      </c>
      <c r="E26" s="173" t="str">
        <f>IF('Dép.volet 4-Form-2023-2024-2025'!K35=0,"",'Dép.volet 4-Form-2023-2024-2025'!K35)</f>
        <v/>
      </c>
      <c r="F26" s="173" t="str">
        <f>IF('Dép.volet 4-Form-2023-2024-2025'!L35=0,"",'Dép.volet 4-Form-2023-2024-2025'!L35)</f>
        <v/>
      </c>
      <c r="G26" s="173" t="str">
        <f>IF('Dép.volet 4-Form-2023-2024-2025'!M35=0,"",'Dép.volet 4-Form-2023-2024-2025'!M35)</f>
        <v/>
      </c>
      <c r="H26" s="173" t="str">
        <f>IF('Dép.volet 4-Form-2023-2024-2025'!N35=0,"",'Dép.volet 4-Form-2023-2024-2025'!N35)</f>
        <v/>
      </c>
      <c r="I26" s="482" t="str">
        <f>IF('Dép.volet 4-Form-2023-2024-2025'!O35=0,"",'Dép.volet 4-Form-2023-2024-2025'!O35)</f>
        <v/>
      </c>
      <c r="J26" s="477">
        <f t="shared" si="0"/>
        <v>0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10" customFormat="1" ht="12.75" x14ac:dyDescent="0.2">
      <c r="A27" s="475" t="s">
        <v>69</v>
      </c>
      <c r="B27" s="484">
        <f>SUM(B12,B19,B26)</f>
        <v>0</v>
      </c>
      <c r="C27" s="467">
        <f t="shared" ref="C27:I27" si="1">SUM(C12,C19,C26)</f>
        <v>0</v>
      </c>
      <c r="D27" s="467">
        <f t="shared" si="1"/>
        <v>0</v>
      </c>
      <c r="E27" s="467">
        <f t="shared" si="1"/>
        <v>0</v>
      </c>
      <c r="F27" s="467">
        <f t="shared" si="1"/>
        <v>0</v>
      </c>
      <c r="G27" s="467">
        <f t="shared" si="1"/>
        <v>0</v>
      </c>
      <c r="H27" s="467">
        <f t="shared" si="1"/>
        <v>0</v>
      </c>
      <c r="I27" s="468">
        <f t="shared" si="1"/>
        <v>0</v>
      </c>
      <c r="J27" s="479">
        <f>SUM(J12,J19,J26)</f>
        <v>0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9" customFormat="1" ht="12.75" x14ac:dyDescent="0.2">
      <c r="A28" s="17"/>
      <c r="B28" s="176"/>
    </row>
    <row r="29" spans="1:20" s="157" customFormat="1" x14ac:dyDescent="0.25"/>
    <row r="30" spans="1:20" x14ac:dyDescent="0.25">
      <c r="A30" s="72" t="s">
        <v>2</v>
      </c>
      <c r="B30" s="824">
        <f>'Dép.volet 4-Form-2023-2024-2025'!B47</f>
        <v>0</v>
      </c>
      <c r="C30" s="825"/>
      <c r="D30" s="826"/>
      <c r="E30" s="157"/>
      <c r="F30" s="157"/>
      <c r="G30" s="157"/>
      <c r="H30" s="157"/>
      <c r="I30" s="157"/>
      <c r="J30" s="157"/>
    </row>
    <row r="31" spans="1:20" x14ac:dyDescent="0.25">
      <c r="A31" s="281" t="s">
        <v>3</v>
      </c>
      <c r="B31" s="827">
        <f>'Dép.volet 4-Form-2023-2024-2025'!B48</f>
        <v>0</v>
      </c>
      <c r="C31" s="828"/>
      <c r="D31" s="829"/>
      <c r="E31" s="157"/>
      <c r="F31" s="157"/>
      <c r="G31" s="157"/>
      <c r="H31" s="157"/>
      <c r="I31" s="157"/>
      <c r="J31" s="157"/>
    </row>
    <row r="32" spans="1:20" s="157" customFormat="1" ht="4.5" customHeight="1" x14ac:dyDescent="0.25">
      <c r="A32" s="528"/>
      <c r="B32" s="529"/>
      <c r="C32" s="529"/>
      <c r="D32" s="529"/>
    </row>
    <row r="33" s="157" customFormat="1" x14ac:dyDescent="0.25"/>
    <row r="34" s="157" customFormat="1" x14ac:dyDescent="0.25"/>
    <row r="35" s="157" customFormat="1" x14ac:dyDescent="0.25"/>
    <row r="36" s="157" customFormat="1" x14ac:dyDescent="0.25"/>
    <row r="37" s="157" customFormat="1" x14ac:dyDescent="0.25"/>
    <row r="38" s="157" customFormat="1" x14ac:dyDescent="0.25"/>
    <row r="39" s="157" customFormat="1" x14ac:dyDescent="0.25"/>
    <row r="40" s="157" customFormat="1" x14ac:dyDescent="0.25"/>
    <row r="41" s="157" customFormat="1" x14ac:dyDescent="0.25"/>
    <row r="42" s="157" customFormat="1" x14ac:dyDescent="0.25"/>
    <row r="43" s="157" customFormat="1" x14ac:dyDescent="0.25"/>
    <row r="44" s="157" customFormat="1" x14ac:dyDescent="0.25"/>
    <row r="45" s="157" customFormat="1" x14ac:dyDescent="0.25"/>
    <row r="46" s="157" customFormat="1" x14ac:dyDescent="0.25"/>
    <row r="47" s="157" customFormat="1" x14ac:dyDescent="0.25"/>
    <row r="48" s="157" customFormat="1" x14ac:dyDescent="0.25"/>
    <row r="49" s="157" customFormat="1" x14ac:dyDescent="0.25"/>
    <row r="50" s="157" customFormat="1" x14ac:dyDescent="0.25"/>
    <row r="51" s="157" customFormat="1" x14ac:dyDescent="0.25"/>
    <row r="52" s="157" customFormat="1" x14ac:dyDescent="0.25"/>
    <row r="53" s="157" customFormat="1" x14ac:dyDescent="0.25"/>
    <row r="54" s="157" customFormat="1" x14ac:dyDescent="0.25"/>
    <row r="55" s="157" customFormat="1" x14ac:dyDescent="0.25"/>
    <row r="56" s="157" customFormat="1" x14ac:dyDescent="0.25"/>
    <row r="57" s="157" customFormat="1" x14ac:dyDescent="0.25"/>
    <row r="58" s="157" customFormat="1" x14ac:dyDescent="0.25"/>
    <row r="59" s="157" customFormat="1" x14ac:dyDescent="0.25"/>
  </sheetData>
  <sheetProtection password="B19B" sheet="1" selectLockedCells="1" selectUnlockedCells="1"/>
  <mergeCells count="4">
    <mergeCell ref="B4:J4"/>
    <mergeCell ref="A1:J1"/>
    <mergeCell ref="B30:D30"/>
    <mergeCell ref="B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&amp;RPage 7/7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Y175"/>
  <sheetViews>
    <sheetView topLeftCell="A4" zoomScaleNormal="100" workbookViewId="0">
      <selection activeCell="B7" sqref="B7"/>
    </sheetView>
  </sheetViews>
  <sheetFormatPr baseColWidth="10" defaultColWidth="11.42578125" defaultRowHeight="15" x14ac:dyDescent="0.25"/>
  <cols>
    <col min="1" max="1" width="47.85546875" customWidth="1"/>
    <col min="2" max="11" width="11.42578125" customWidth="1"/>
    <col min="12" max="18" width="11.42578125" style="157" customWidth="1"/>
    <col min="19" max="25" width="11.42578125" style="157"/>
  </cols>
  <sheetData>
    <row r="1" spans="1:25" ht="15.75" x14ac:dyDescent="0.25">
      <c r="A1" s="701" t="s">
        <v>199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/>
    </row>
    <row r="2" spans="1:25" s="157" customFormat="1" x14ac:dyDescent="0.25"/>
    <row r="3" spans="1:25" s="9" customFormat="1" x14ac:dyDescent="0.25">
      <c r="A3" s="157"/>
    </row>
    <row r="4" spans="1:25" s="157" customFormat="1" ht="32.25" customHeight="1" thickBot="1" x14ac:dyDescent="0.3">
      <c r="B4" s="830" t="str">
        <f>"Montants des dépenses éligibles retenues dans la décision juridique n° "&amp;Identification!E28&amp;" (reportez-vous à l'annexe financière de la décision pour compléter le tableau ci-dessous)"</f>
        <v>Montants des dépenses éligibles retenues dans la décision juridique n°  (reportez-vous à l'annexe financière de la décision pour compléter le tableau ci-dessous)</v>
      </c>
      <c r="C4" s="831"/>
      <c r="D4" s="831"/>
      <c r="E4" s="831"/>
      <c r="F4" s="831"/>
      <c r="G4" s="831"/>
      <c r="H4" s="831"/>
      <c r="I4" s="831"/>
      <c r="J4" s="832" t="s">
        <v>198</v>
      </c>
      <c r="K4" s="832"/>
      <c r="L4" s="832"/>
      <c r="M4" s="832"/>
      <c r="N4" s="832"/>
      <c r="O4" s="832"/>
      <c r="P4" s="832"/>
      <c r="Q4" s="833"/>
    </row>
    <row r="5" spans="1:25" s="10" customFormat="1" ht="51" customHeight="1" x14ac:dyDescent="0.2">
      <c r="A5" s="442" t="s">
        <v>79</v>
      </c>
      <c r="B5" s="432">
        <f>'Synthèse montants présentés'!B5</f>
        <v>0</v>
      </c>
      <c r="C5" s="159" t="str">
        <f>'Synthèse montants présentés'!C5</f>
        <v>-</v>
      </c>
      <c r="D5" s="159" t="str">
        <f>'Synthèse montants présentés'!D5</f>
        <v>-</v>
      </c>
      <c r="E5" s="159" t="str">
        <f>'Synthèse montants présentés'!E5</f>
        <v>-</v>
      </c>
      <c r="F5" s="159" t="str">
        <f>'Synthèse montants présentés'!F5</f>
        <v>-</v>
      </c>
      <c r="G5" s="159" t="str">
        <f>'Synthèse montants présentés'!G5</f>
        <v>-</v>
      </c>
      <c r="H5" s="159" t="str">
        <f>'Synthèse montants présentés'!H5</f>
        <v>-</v>
      </c>
      <c r="I5" s="159" t="s">
        <v>105</v>
      </c>
      <c r="J5" s="432">
        <f>B5</f>
        <v>0</v>
      </c>
      <c r="K5" s="159" t="str">
        <f t="shared" ref="K5:P5" si="0">C5</f>
        <v>-</v>
      </c>
      <c r="L5" s="159" t="str">
        <f t="shared" si="0"/>
        <v>-</v>
      </c>
      <c r="M5" s="159" t="str">
        <f t="shared" si="0"/>
        <v>-</v>
      </c>
      <c r="N5" s="159" t="str">
        <f t="shared" si="0"/>
        <v>-</v>
      </c>
      <c r="O5" s="159" t="str">
        <f t="shared" si="0"/>
        <v>-</v>
      </c>
      <c r="P5" s="159" t="str">
        <f t="shared" si="0"/>
        <v>-</v>
      </c>
      <c r="Q5" s="433" t="s">
        <v>191</v>
      </c>
      <c r="R5" s="495" t="s">
        <v>211</v>
      </c>
      <c r="S5" s="9"/>
      <c r="T5" s="9"/>
      <c r="U5" s="9"/>
      <c r="V5" s="9"/>
      <c r="W5" s="9"/>
      <c r="X5" s="9"/>
      <c r="Y5" s="9"/>
    </row>
    <row r="6" spans="1:25" s="10" customFormat="1" ht="15" customHeight="1" x14ac:dyDescent="0.2">
      <c r="A6" s="443" t="s">
        <v>78</v>
      </c>
      <c r="B6" s="434"/>
      <c r="C6" s="160"/>
      <c r="D6" s="160"/>
      <c r="E6" s="161"/>
      <c r="F6" s="161"/>
      <c r="G6" s="161"/>
      <c r="H6" s="161"/>
      <c r="I6" s="161"/>
      <c r="J6" s="434"/>
      <c r="K6" s="160"/>
      <c r="L6" s="160"/>
      <c r="M6" s="161"/>
      <c r="N6" s="161"/>
      <c r="O6" s="161"/>
      <c r="P6" s="161"/>
      <c r="Q6" s="435"/>
      <c r="R6" s="496"/>
      <c r="S6" s="9"/>
      <c r="T6" s="9"/>
      <c r="U6" s="9"/>
      <c r="V6" s="9"/>
      <c r="W6" s="9"/>
      <c r="X6" s="9"/>
      <c r="Y6" s="9"/>
    </row>
    <row r="7" spans="1:25" s="10" customFormat="1" ht="15" customHeight="1" x14ac:dyDescent="0.2">
      <c r="A7" s="444" t="s">
        <v>68</v>
      </c>
      <c r="B7" s="587"/>
      <c r="C7" s="588"/>
      <c r="D7" s="588"/>
      <c r="E7" s="589"/>
      <c r="F7" s="589"/>
      <c r="G7" s="589"/>
      <c r="H7" s="589"/>
      <c r="I7" s="604">
        <f>SUM(B7:H7)</f>
        <v>0</v>
      </c>
      <c r="J7" s="449"/>
      <c r="K7" s="450"/>
      <c r="L7" s="450"/>
      <c r="M7" s="451"/>
      <c r="N7" s="451"/>
      <c r="O7" s="451"/>
      <c r="P7" s="451"/>
      <c r="Q7" s="452"/>
      <c r="R7" s="497"/>
      <c r="S7" s="9"/>
      <c r="T7" s="9"/>
      <c r="U7" s="9"/>
      <c r="V7" s="9"/>
      <c r="W7" s="9"/>
      <c r="X7" s="9"/>
      <c r="Y7" s="9"/>
    </row>
    <row r="8" spans="1:25" s="10" customFormat="1" ht="15" customHeight="1" x14ac:dyDescent="0.2">
      <c r="A8" s="444" t="s">
        <v>67</v>
      </c>
      <c r="B8" s="587"/>
      <c r="C8" s="588"/>
      <c r="D8" s="588"/>
      <c r="E8" s="589"/>
      <c r="F8" s="589"/>
      <c r="G8" s="589"/>
      <c r="H8" s="589"/>
      <c r="I8" s="604">
        <f t="shared" ref="I8:I10" si="1">SUM(B8:H8)</f>
        <v>0</v>
      </c>
      <c r="J8" s="449"/>
      <c r="K8" s="450"/>
      <c r="L8" s="450"/>
      <c r="M8" s="451"/>
      <c r="N8" s="451"/>
      <c r="O8" s="451"/>
      <c r="P8" s="451"/>
      <c r="Q8" s="452"/>
      <c r="R8" s="497"/>
      <c r="S8" s="9"/>
      <c r="T8" s="9"/>
      <c r="U8" s="9"/>
      <c r="V8" s="9"/>
      <c r="W8" s="9"/>
      <c r="X8" s="9"/>
      <c r="Y8" s="9"/>
    </row>
    <row r="9" spans="1:25" s="10" customFormat="1" ht="15" customHeight="1" x14ac:dyDescent="0.2">
      <c r="A9" s="444" t="s">
        <v>66</v>
      </c>
      <c r="B9" s="587"/>
      <c r="C9" s="588"/>
      <c r="D9" s="588"/>
      <c r="E9" s="589"/>
      <c r="F9" s="589"/>
      <c r="G9" s="589"/>
      <c r="H9" s="589"/>
      <c r="I9" s="604">
        <f t="shared" si="1"/>
        <v>0</v>
      </c>
      <c r="J9" s="449"/>
      <c r="K9" s="450"/>
      <c r="L9" s="450"/>
      <c r="M9" s="451"/>
      <c r="N9" s="451"/>
      <c r="O9" s="451"/>
      <c r="P9" s="451"/>
      <c r="Q9" s="452"/>
      <c r="R9" s="497"/>
      <c r="S9" s="9"/>
      <c r="T9" s="9"/>
      <c r="U9" s="9"/>
      <c r="V9" s="9"/>
      <c r="W9" s="9"/>
      <c r="X9" s="9"/>
      <c r="Y9" s="9"/>
    </row>
    <row r="10" spans="1:25" s="10" customFormat="1" ht="15" customHeight="1" x14ac:dyDescent="0.2">
      <c r="A10" s="445" t="s">
        <v>65</v>
      </c>
      <c r="B10" s="590"/>
      <c r="C10" s="591"/>
      <c r="D10" s="591"/>
      <c r="E10" s="592"/>
      <c r="F10" s="592"/>
      <c r="G10" s="592"/>
      <c r="H10" s="592"/>
      <c r="I10" s="605">
        <f t="shared" si="1"/>
        <v>0</v>
      </c>
      <c r="J10" s="453"/>
      <c r="K10" s="454"/>
      <c r="L10" s="454"/>
      <c r="M10" s="455"/>
      <c r="N10" s="455"/>
      <c r="O10" s="455"/>
      <c r="P10" s="455"/>
      <c r="Q10" s="456"/>
      <c r="R10" s="498"/>
      <c r="S10" s="9"/>
      <c r="T10" s="9"/>
      <c r="U10" s="9"/>
      <c r="V10" s="9"/>
      <c r="W10" s="9"/>
      <c r="X10" s="9"/>
      <c r="Y10" s="9"/>
    </row>
    <row r="11" spans="1:25" s="10" customFormat="1" ht="15" customHeight="1" x14ac:dyDescent="0.2">
      <c r="A11" s="446" t="s">
        <v>71</v>
      </c>
      <c r="B11" s="599">
        <f>SUM(B7:B10)</f>
        <v>0</v>
      </c>
      <c r="C11" s="169">
        <f t="shared" ref="C11:H11" si="2">SUM(C7:C10)</f>
        <v>0</v>
      </c>
      <c r="D11" s="169">
        <f t="shared" si="2"/>
        <v>0</v>
      </c>
      <c r="E11" s="171">
        <f t="shared" si="2"/>
        <v>0</v>
      </c>
      <c r="F11" s="171">
        <f t="shared" si="2"/>
        <v>0</v>
      </c>
      <c r="G11" s="171">
        <f t="shared" si="2"/>
        <v>0</v>
      </c>
      <c r="H11" s="171">
        <f t="shared" si="2"/>
        <v>0</v>
      </c>
      <c r="I11" s="171">
        <f>SUM(B11:H11)</f>
        <v>0</v>
      </c>
      <c r="J11" s="457"/>
      <c r="K11" s="458"/>
      <c r="L11" s="458"/>
      <c r="M11" s="459"/>
      <c r="N11" s="459"/>
      <c r="O11" s="459"/>
      <c r="P11" s="459"/>
      <c r="Q11" s="460"/>
      <c r="R11" s="499"/>
      <c r="S11" s="9"/>
      <c r="T11" s="9"/>
      <c r="U11" s="9"/>
      <c r="V11" s="9"/>
      <c r="W11" s="9"/>
      <c r="X11" s="9"/>
      <c r="Y11" s="9"/>
    </row>
    <row r="12" spans="1:25" s="10" customFormat="1" ht="15" customHeight="1" x14ac:dyDescent="0.2">
      <c r="A12" s="447" t="s">
        <v>72</v>
      </c>
      <c r="B12" s="593"/>
      <c r="C12" s="594"/>
      <c r="D12" s="594"/>
      <c r="E12" s="595"/>
      <c r="F12" s="596"/>
      <c r="G12" s="596"/>
      <c r="H12" s="596"/>
      <c r="I12" s="607">
        <f>SUM(B12:H12)</f>
        <v>0</v>
      </c>
      <c r="J12" s="593"/>
      <c r="K12" s="594"/>
      <c r="L12" s="594"/>
      <c r="M12" s="595"/>
      <c r="N12" s="596"/>
      <c r="O12" s="596"/>
      <c r="P12" s="596"/>
      <c r="Q12" s="437">
        <f>SUM(J12:P12)</f>
        <v>0</v>
      </c>
      <c r="R12" s="500">
        <f>IF(OR(AND(I11&gt;10000,I12=10000),AND(I11&lt;10000,I12=I11)),MAX(0,I12-Q12),"Erreur")</f>
        <v>0</v>
      </c>
      <c r="S12" s="9"/>
      <c r="T12" s="9"/>
      <c r="U12" s="9"/>
      <c r="V12" s="9"/>
      <c r="W12" s="9"/>
      <c r="X12" s="9"/>
      <c r="Y12" s="9"/>
    </row>
    <row r="13" spans="1:25" s="10" customFormat="1" ht="15" customHeight="1" x14ac:dyDescent="0.2">
      <c r="A13" s="443" t="s">
        <v>192</v>
      </c>
      <c r="B13" s="434"/>
      <c r="C13" s="160"/>
      <c r="D13" s="160"/>
      <c r="E13" s="161"/>
      <c r="F13" s="161"/>
      <c r="G13" s="161"/>
      <c r="H13" s="161"/>
      <c r="I13" s="161"/>
      <c r="J13" s="434"/>
      <c r="K13" s="160"/>
      <c r="L13" s="160"/>
      <c r="M13" s="161"/>
      <c r="N13" s="161"/>
      <c r="O13" s="161"/>
      <c r="P13" s="161"/>
      <c r="Q13" s="435"/>
      <c r="R13" s="496"/>
      <c r="S13" s="9"/>
      <c r="T13" s="9"/>
      <c r="U13" s="9"/>
      <c r="V13" s="9"/>
      <c r="W13" s="9"/>
      <c r="X13" s="9"/>
      <c r="Y13" s="9"/>
    </row>
    <row r="14" spans="1:25" s="10" customFormat="1" ht="15" customHeight="1" x14ac:dyDescent="0.2">
      <c r="A14" s="444" t="s">
        <v>68</v>
      </c>
      <c r="B14" s="587"/>
      <c r="C14" s="588"/>
      <c r="D14" s="588"/>
      <c r="E14" s="589"/>
      <c r="F14" s="589"/>
      <c r="G14" s="589"/>
      <c r="H14" s="589"/>
      <c r="I14" s="604">
        <f t="shared" ref="I14:I17" si="3">SUM(B14:H14)</f>
        <v>0</v>
      </c>
      <c r="J14" s="449"/>
      <c r="K14" s="450"/>
      <c r="L14" s="450"/>
      <c r="M14" s="451"/>
      <c r="N14" s="451"/>
      <c r="O14" s="451"/>
      <c r="P14" s="451"/>
      <c r="Q14" s="452"/>
      <c r="R14" s="497"/>
      <c r="S14" s="9"/>
      <c r="T14" s="9"/>
      <c r="U14" s="9"/>
      <c r="V14" s="9"/>
      <c r="W14" s="9"/>
      <c r="X14" s="9"/>
      <c r="Y14" s="9"/>
    </row>
    <row r="15" spans="1:25" s="10" customFormat="1" ht="15" customHeight="1" x14ac:dyDescent="0.2">
      <c r="A15" s="444" t="s">
        <v>67</v>
      </c>
      <c r="B15" s="587"/>
      <c r="C15" s="588"/>
      <c r="D15" s="588"/>
      <c r="E15" s="589"/>
      <c r="F15" s="589"/>
      <c r="G15" s="589"/>
      <c r="H15" s="589"/>
      <c r="I15" s="604">
        <f t="shared" si="3"/>
        <v>0</v>
      </c>
      <c r="J15" s="449"/>
      <c r="K15" s="450"/>
      <c r="L15" s="450"/>
      <c r="M15" s="451"/>
      <c r="N15" s="451"/>
      <c r="O15" s="451"/>
      <c r="P15" s="451"/>
      <c r="Q15" s="452"/>
      <c r="R15" s="497"/>
      <c r="S15" s="9"/>
      <c r="T15" s="9"/>
      <c r="U15" s="9"/>
      <c r="V15" s="9"/>
      <c r="W15" s="9"/>
      <c r="X15" s="9"/>
      <c r="Y15" s="9"/>
    </row>
    <row r="16" spans="1:25" s="10" customFormat="1" ht="15" customHeight="1" x14ac:dyDescent="0.2">
      <c r="A16" s="444" t="s">
        <v>66</v>
      </c>
      <c r="B16" s="587"/>
      <c r="C16" s="588"/>
      <c r="D16" s="588"/>
      <c r="E16" s="589"/>
      <c r="F16" s="589"/>
      <c r="G16" s="589"/>
      <c r="H16" s="589"/>
      <c r="I16" s="604">
        <f t="shared" si="3"/>
        <v>0</v>
      </c>
      <c r="J16" s="449"/>
      <c r="K16" s="450"/>
      <c r="L16" s="450"/>
      <c r="M16" s="451"/>
      <c r="N16" s="451"/>
      <c r="O16" s="451"/>
      <c r="P16" s="451"/>
      <c r="Q16" s="452"/>
      <c r="R16" s="497"/>
      <c r="S16" s="9"/>
      <c r="T16" s="9"/>
      <c r="U16" s="9"/>
      <c r="V16" s="9"/>
      <c r="W16" s="9"/>
      <c r="X16" s="9"/>
      <c r="Y16" s="9"/>
    </row>
    <row r="17" spans="1:25" s="10" customFormat="1" ht="15" customHeight="1" x14ac:dyDescent="0.2">
      <c r="A17" s="445" t="s">
        <v>65</v>
      </c>
      <c r="B17" s="590"/>
      <c r="C17" s="591"/>
      <c r="D17" s="591"/>
      <c r="E17" s="592"/>
      <c r="F17" s="592"/>
      <c r="G17" s="592"/>
      <c r="H17" s="592"/>
      <c r="I17" s="605">
        <f t="shared" si="3"/>
        <v>0</v>
      </c>
      <c r="J17" s="453"/>
      <c r="K17" s="454"/>
      <c r="L17" s="454"/>
      <c r="M17" s="455"/>
      <c r="N17" s="455"/>
      <c r="O17" s="455"/>
      <c r="P17" s="455"/>
      <c r="Q17" s="456"/>
      <c r="R17" s="498"/>
      <c r="S17" s="9"/>
      <c r="T17" s="9"/>
      <c r="U17" s="9"/>
      <c r="V17" s="9"/>
      <c r="W17" s="9"/>
      <c r="X17" s="9"/>
      <c r="Y17" s="9"/>
    </row>
    <row r="18" spans="1:25" s="10" customFormat="1" ht="15" customHeight="1" x14ac:dyDescent="0.2">
      <c r="A18" s="447" t="s">
        <v>73</v>
      </c>
      <c r="B18" s="436">
        <f>SUM(B14:B17)</f>
        <v>0</v>
      </c>
      <c r="C18" s="173">
        <f t="shared" ref="C18:H18" si="4">SUM(C14:C17)</f>
        <v>0</v>
      </c>
      <c r="D18" s="173">
        <f t="shared" si="4"/>
        <v>0</v>
      </c>
      <c r="E18" s="174">
        <f t="shared" si="4"/>
        <v>0</v>
      </c>
      <c r="F18" s="174">
        <f t="shared" si="4"/>
        <v>0</v>
      </c>
      <c r="G18" s="174">
        <f t="shared" si="4"/>
        <v>0</v>
      </c>
      <c r="H18" s="174">
        <f t="shared" si="4"/>
        <v>0</v>
      </c>
      <c r="I18" s="174">
        <f>SUM(B18:H18)</f>
        <v>0</v>
      </c>
      <c r="J18" s="593"/>
      <c r="K18" s="594"/>
      <c r="L18" s="594"/>
      <c r="M18" s="595"/>
      <c r="N18" s="595"/>
      <c r="O18" s="595"/>
      <c r="P18" s="595"/>
      <c r="Q18" s="437">
        <f>SUM(J18:P18)</f>
        <v>0</v>
      </c>
      <c r="R18" s="500">
        <f>MAX(0,I18-Q18)</f>
        <v>0</v>
      </c>
      <c r="S18" s="9"/>
      <c r="T18" s="9"/>
      <c r="U18" s="9"/>
      <c r="V18" s="9"/>
      <c r="W18" s="9"/>
      <c r="X18" s="9"/>
      <c r="Y18" s="9"/>
    </row>
    <row r="19" spans="1:25" s="10" customFormat="1" ht="15" customHeight="1" x14ac:dyDescent="0.2">
      <c r="A19" s="443" t="s">
        <v>80</v>
      </c>
      <c r="B19" s="434"/>
      <c r="C19" s="160"/>
      <c r="D19" s="160"/>
      <c r="E19" s="161"/>
      <c r="F19" s="161"/>
      <c r="G19" s="161"/>
      <c r="H19" s="161"/>
      <c r="I19" s="161"/>
      <c r="J19" s="434"/>
      <c r="K19" s="160"/>
      <c r="L19" s="160"/>
      <c r="M19" s="161"/>
      <c r="N19" s="161"/>
      <c r="O19" s="161"/>
      <c r="P19" s="161"/>
      <c r="Q19" s="435"/>
      <c r="R19" s="496"/>
      <c r="S19" s="9"/>
      <c r="T19" s="9"/>
      <c r="U19" s="9"/>
      <c r="V19" s="9"/>
      <c r="W19" s="9"/>
      <c r="X19" s="9"/>
      <c r="Y19" s="9"/>
    </row>
    <row r="20" spans="1:25" s="10" customFormat="1" ht="15" customHeight="1" x14ac:dyDescent="0.2">
      <c r="A20" s="444" t="s">
        <v>68</v>
      </c>
      <c r="B20" s="587"/>
      <c r="C20" s="588"/>
      <c r="D20" s="588"/>
      <c r="E20" s="589"/>
      <c r="F20" s="589"/>
      <c r="G20" s="589"/>
      <c r="H20" s="589"/>
      <c r="I20" s="604">
        <f t="shared" ref="I20:I23" si="5">SUM(B20:H20)</f>
        <v>0</v>
      </c>
      <c r="J20" s="449"/>
      <c r="K20" s="450"/>
      <c r="L20" s="450"/>
      <c r="M20" s="451"/>
      <c r="N20" s="451"/>
      <c r="O20" s="451"/>
      <c r="P20" s="451"/>
      <c r="Q20" s="452"/>
      <c r="R20" s="497"/>
      <c r="S20" s="9"/>
      <c r="T20" s="9"/>
      <c r="U20" s="9"/>
      <c r="V20" s="9"/>
      <c r="W20" s="9"/>
      <c r="X20" s="9"/>
      <c r="Y20" s="9"/>
    </row>
    <row r="21" spans="1:25" s="10" customFormat="1" ht="15" customHeight="1" x14ac:dyDescent="0.2">
      <c r="A21" s="444" t="s">
        <v>67</v>
      </c>
      <c r="B21" s="587"/>
      <c r="C21" s="588"/>
      <c r="D21" s="597"/>
      <c r="E21" s="598"/>
      <c r="F21" s="598"/>
      <c r="G21" s="598"/>
      <c r="H21" s="598"/>
      <c r="I21" s="606">
        <f t="shared" si="5"/>
        <v>0</v>
      </c>
      <c r="J21" s="461"/>
      <c r="K21" s="462"/>
      <c r="L21" s="462"/>
      <c r="M21" s="463"/>
      <c r="N21" s="463"/>
      <c r="O21" s="463"/>
      <c r="P21" s="463"/>
      <c r="Q21" s="464"/>
      <c r="R21" s="501"/>
      <c r="S21" s="9"/>
      <c r="T21" s="9"/>
      <c r="U21" s="9"/>
      <c r="V21" s="9"/>
      <c r="W21" s="9"/>
      <c r="X21" s="9"/>
      <c r="Y21" s="9"/>
    </row>
    <row r="22" spans="1:25" s="10" customFormat="1" ht="15" customHeight="1" x14ac:dyDescent="0.2">
      <c r="A22" s="444" t="s">
        <v>66</v>
      </c>
      <c r="B22" s="587"/>
      <c r="C22" s="588"/>
      <c r="D22" s="597"/>
      <c r="E22" s="598"/>
      <c r="F22" s="598"/>
      <c r="G22" s="598"/>
      <c r="H22" s="598"/>
      <c r="I22" s="606">
        <f t="shared" si="5"/>
        <v>0</v>
      </c>
      <c r="J22" s="461"/>
      <c r="K22" s="462"/>
      <c r="L22" s="462"/>
      <c r="M22" s="463"/>
      <c r="N22" s="463"/>
      <c r="O22" s="463"/>
      <c r="P22" s="463"/>
      <c r="Q22" s="464"/>
      <c r="R22" s="501"/>
      <c r="S22" s="9"/>
      <c r="T22" s="9"/>
      <c r="U22" s="9"/>
      <c r="V22" s="9"/>
      <c r="W22" s="9"/>
      <c r="X22" s="9"/>
      <c r="Y22" s="9"/>
    </row>
    <row r="23" spans="1:25" s="10" customFormat="1" ht="15" customHeight="1" x14ac:dyDescent="0.2">
      <c r="A23" s="445" t="s">
        <v>101</v>
      </c>
      <c r="B23" s="590"/>
      <c r="C23" s="591"/>
      <c r="D23" s="591"/>
      <c r="E23" s="592"/>
      <c r="F23" s="592"/>
      <c r="G23" s="592"/>
      <c r="H23" s="592"/>
      <c r="I23" s="605">
        <f t="shared" si="5"/>
        <v>0</v>
      </c>
      <c r="J23" s="453"/>
      <c r="K23" s="454"/>
      <c r="L23" s="454"/>
      <c r="M23" s="455"/>
      <c r="N23" s="455"/>
      <c r="O23" s="455"/>
      <c r="P23" s="455"/>
      <c r="Q23" s="456"/>
      <c r="R23" s="498"/>
      <c r="S23" s="9"/>
      <c r="T23" s="9"/>
      <c r="U23" s="9"/>
      <c r="V23" s="9"/>
      <c r="W23" s="9"/>
      <c r="X23" s="9"/>
      <c r="Y23" s="9"/>
    </row>
    <row r="24" spans="1:25" s="10" customFormat="1" ht="15" customHeight="1" x14ac:dyDescent="0.2">
      <c r="A24" s="447" t="s">
        <v>74</v>
      </c>
      <c r="B24" s="436">
        <f t="shared" ref="B24:H24" si="6">SUM(B20:B23)</f>
        <v>0</v>
      </c>
      <c r="C24" s="173">
        <f t="shared" si="6"/>
        <v>0</v>
      </c>
      <c r="D24" s="173">
        <f t="shared" si="6"/>
        <v>0</v>
      </c>
      <c r="E24" s="174">
        <f t="shared" si="6"/>
        <v>0</v>
      </c>
      <c r="F24" s="174">
        <f t="shared" si="6"/>
        <v>0</v>
      </c>
      <c r="G24" s="174">
        <f t="shared" si="6"/>
        <v>0</v>
      </c>
      <c r="H24" s="174">
        <f t="shared" si="6"/>
        <v>0</v>
      </c>
      <c r="I24" s="174">
        <f>SUM(B24:H24)</f>
        <v>0</v>
      </c>
      <c r="J24" s="593"/>
      <c r="K24" s="594"/>
      <c r="L24" s="594"/>
      <c r="M24" s="595"/>
      <c r="N24" s="595"/>
      <c r="O24" s="595"/>
      <c r="P24" s="595"/>
      <c r="Q24" s="437">
        <f>SUM(J24:P24)</f>
        <v>0</v>
      </c>
      <c r="R24" s="500">
        <f>MAX(0,I24-Q24)</f>
        <v>0</v>
      </c>
      <c r="S24" s="9"/>
      <c r="T24" s="9"/>
      <c r="U24" s="9"/>
      <c r="V24" s="9"/>
      <c r="W24" s="9"/>
      <c r="X24" s="9"/>
      <c r="Y24" s="9"/>
    </row>
    <row r="25" spans="1:25" s="10" customFormat="1" ht="15" customHeight="1" thickBot="1" x14ac:dyDescent="0.25">
      <c r="A25" s="448" t="s">
        <v>69</v>
      </c>
      <c r="B25" s="438">
        <f>B12+B18+B24</f>
        <v>0</v>
      </c>
      <c r="C25" s="439">
        <f t="shared" ref="C25:I25" si="7">C12+C18+C24</f>
        <v>0</v>
      </c>
      <c r="D25" s="439">
        <f t="shared" si="7"/>
        <v>0</v>
      </c>
      <c r="E25" s="439">
        <f t="shared" si="7"/>
        <v>0</v>
      </c>
      <c r="F25" s="439">
        <f t="shared" si="7"/>
        <v>0</v>
      </c>
      <c r="G25" s="439">
        <f t="shared" si="7"/>
        <v>0</v>
      </c>
      <c r="H25" s="439">
        <f t="shared" si="7"/>
        <v>0</v>
      </c>
      <c r="I25" s="440">
        <f t="shared" si="7"/>
        <v>0</v>
      </c>
      <c r="J25" s="438">
        <f>J12+J18+J24</f>
        <v>0</v>
      </c>
      <c r="K25" s="439">
        <f t="shared" ref="K25:P25" si="8">K12+K18+K24</f>
        <v>0</v>
      </c>
      <c r="L25" s="439">
        <f t="shared" si="8"/>
        <v>0</v>
      </c>
      <c r="M25" s="439">
        <f t="shared" si="8"/>
        <v>0</v>
      </c>
      <c r="N25" s="439">
        <f t="shared" si="8"/>
        <v>0</v>
      </c>
      <c r="O25" s="439">
        <f t="shared" si="8"/>
        <v>0</v>
      </c>
      <c r="P25" s="439">
        <f t="shared" si="8"/>
        <v>0</v>
      </c>
      <c r="Q25" s="441">
        <f>Q12+Q18+Q24</f>
        <v>0</v>
      </c>
      <c r="R25" s="502">
        <f>R12+R18+R24</f>
        <v>0</v>
      </c>
      <c r="S25" s="9"/>
      <c r="T25" s="9"/>
      <c r="U25" s="9"/>
      <c r="V25" s="9"/>
      <c r="W25" s="9"/>
      <c r="X25" s="9"/>
      <c r="Y25" s="9"/>
    </row>
    <row r="26" spans="1:25" s="10" customFormat="1" ht="12.75" x14ac:dyDescent="0.2">
      <c r="A26" s="175"/>
      <c r="B26" s="177"/>
      <c r="C26" s="9"/>
      <c r="K26" s="9"/>
      <c r="L26" s="165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18" customFormat="1" ht="18" customHeight="1" x14ac:dyDescent="0.2">
      <c r="A27" s="511"/>
      <c r="B27" s="524"/>
      <c r="C27" s="512"/>
      <c r="D27" s="512"/>
      <c r="E27" s="512"/>
      <c r="F27" s="524"/>
      <c r="G27" s="524"/>
      <c r="H27" s="524"/>
      <c r="I27" s="513"/>
      <c r="J27" s="187"/>
      <c r="K27" s="187"/>
    </row>
    <row r="28" spans="1:25" s="18" customFormat="1" ht="18" customHeight="1" x14ac:dyDescent="0.2">
      <c r="A28" s="514" t="s">
        <v>237</v>
      </c>
      <c r="B28" s="9" t="s">
        <v>242</v>
      </c>
      <c r="I28" s="515"/>
      <c r="J28" s="187"/>
      <c r="K28" s="187"/>
    </row>
    <row r="29" spans="1:25" s="18" customFormat="1" ht="18" customHeight="1" x14ac:dyDescent="0.2">
      <c r="A29" s="514" t="s">
        <v>239</v>
      </c>
      <c r="B29" s="9" t="s">
        <v>242</v>
      </c>
      <c r="E29" s="379"/>
      <c r="I29" s="515"/>
      <c r="J29" s="187"/>
      <c r="K29" s="187"/>
    </row>
    <row r="30" spans="1:25" s="18" customFormat="1" ht="18" customHeight="1" x14ac:dyDescent="0.2">
      <c r="A30" s="514" t="s">
        <v>240</v>
      </c>
      <c r="B30" s="9" t="s">
        <v>242</v>
      </c>
      <c r="E30" s="381"/>
      <c r="I30" s="516"/>
      <c r="J30" s="187"/>
      <c r="K30" s="187"/>
    </row>
    <row r="31" spans="1:25" s="18" customFormat="1" ht="18" customHeight="1" x14ac:dyDescent="0.2">
      <c r="A31" s="514" t="s">
        <v>241</v>
      </c>
      <c r="G31" s="521" t="s">
        <v>238</v>
      </c>
      <c r="I31" s="517"/>
      <c r="J31" s="187"/>
      <c r="K31" s="187"/>
    </row>
    <row r="32" spans="1:25" s="18" customFormat="1" ht="18" customHeight="1" x14ac:dyDescent="0.2">
      <c r="A32" s="514"/>
      <c r="G32" s="521"/>
      <c r="I32" s="517"/>
      <c r="J32" s="187"/>
      <c r="K32" s="187"/>
    </row>
    <row r="33" spans="1:11" s="18" customFormat="1" ht="18" customHeight="1" x14ac:dyDescent="0.2">
      <c r="A33" s="514"/>
      <c r="G33" s="521"/>
      <c r="I33" s="517"/>
      <c r="J33" s="187"/>
      <c r="K33" s="187"/>
    </row>
    <row r="34" spans="1:11" s="18" customFormat="1" ht="12.75" x14ac:dyDescent="0.2">
      <c r="A34" s="525"/>
      <c r="B34" s="523"/>
      <c r="E34" s="345"/>
      <c r="I34" s="517"/>
      <c r="J34" s="187"/>
      <c r="K34" s="187"/>
    </row>
    <row r="35" spans="1:11" s="18" customFormat="1" ht="12.75" x14ac:dyDescent="0.2">
      <c r="A35" s="525"/>
      <c r="B35" s="523"/>
      <c r="E35" s="345"/>
      <c r="I35" s="517"/>
      <c r="J35" s="187"/>
      <c r="K35" s="187"/>
    </row>
    <row r="36" spans="1:11" s="18" customFormat="1" ht="12.75" x14ac:dyDescent="0.2">
      <c r="A36" s="526"/>
      <c r="B36" s="519"/>
      <c r="C36" s="519"/>
      <c r="D36" s="519"/>
      <c r="E36" s="519"/>
      <c r="F36" s="530"/>
      <c r="G36" s="530"/>
      <c r="H36" s="530"/>
      <c r="I36" s="520"/>
      <c r="J36" s="187"/>
      <c r="K36" s="187"/>
    </row>
    <row r="37" spans="1:11" s="157" customFormat="1" x14ac:dyDescent="0.25"/>
    <row r="38" spans="1:11" s="157" customFormat="1" x14ac:dyDescent="0.25"/>
    <row r="39" spans="1:11" s="157" customFormat="1" x14ac:dyDescent="0.25"/>
    <row r="40" spans="1:11" x14ac:dyDescent="0.25">
      <c r="A40" s="72" t="s">
        <v>2</v>
      </c>
      <c r="B40" s="824">
        <f>'Synthèse montants présentés'!B30:D30</f>
        <v>0</v>
      </c>
      <c r="C40" s="825"/>
      <c r="D40" s="826"/>
      <c r="E40" s="157"/>
      <c r="F40" s="157"/>
      <c r="G40" s="157"/>
      <c r="H40" s="157"/>
      <c r="I40" s="157"/>
      <c r="J40" s="157"/>
      <c r="K40" s="157"/>
    </row>
    <row r="41" spans="1:11" x14ac:dyDescent="0.25">
      <c r="A41" s="281" t="s">
        <v>3</v>
      </c>
      <c r="B41" s="827">
        <f>'Synthèse montants présentés'!B31:D31</f>
        <v>0</v>
      </c>
      <c r="C41" s="828"/>
      <c r="D41" s="829"/>
      <c r="E41" s="157"/>
      <c r="F41" s="157"/>
      <c r="G41" s="157"/>
      <c r="H41" s="157"/>
      <c r="I41" s="157"/>
      <c r="J41" s="157"/>
      <c r="K41" s="157"/>
    </row>
    <row r="42" spans="1:11" s="157" customFormat="1" x14ac:dyDescent="0.25"/>
    <row r="43" spans="1:11" s="157" customFormat="1" x14ac:dyDescent="0.25"/>
    <row r="44" spans="1:11" s="157" customFormat="1" x14ac:dyDescent="0.25"/>
    <row r="45" spans="1:11" s="157" customFormat="1" x14ac:dyDescent="0.25"/>
    <row r="46" spans="1:11" s="157" customFormat="1" x14ac:dyDescent="0.25"/>
    <row r="47" spans="1:11" s="157" customFormat="1" x14ac:dyDescent="0.25"/>
    <row r="49" s="157" customFormat="1" x14ac:dyDescent="0.25"/>
    <row r="50" s="157" customFormat="1" x14ac:dyDescent="0.25"/>
    <row r="51" s="157" customFormat="1" x14ac:dyDescent="0.25"/>
    <row r="52" s="157" customFormat="1" x14ac:dyDescent="0.25"/>
    <row r="53" s="157" customFormat="1" x14ac:dyDescent="0.25"/>
    <row r="54" s="157" customFormat="1" x14ac:dyDescent="0.25"/>
    <row r="55" s="157" customFormat="1" x14ac:dyDescent="0.25"/>
    <row r="56" s="157" customFormat="1" x14ac:dyDescent="0.25"/>
    <row r="57" s="157" customFormat="1" x14ac:dyDescent="0.25"/>
    <row r="58" s="157" customFormat="1" x14ac:dyDescent="0.25"/>
    <row r="59" s="157" customFormat="1" x14ac:dyDescent="0.25"/>
    <row r="60" s="157" customFormat="1" x14ac:dyDescent="0.25"/>
    <row r="61" s="157" customFormat="1" x14ac:dyDescent="0.25"/>
    <row r="62" s="157" customFormat="1" x14ac:dyDescent="0.25"/>
    <row r="63" s="157" customFormat="1" x14ac:dyDescent="0.25"/>
    <row r="64" s="157" customFormat="1" x14ac:dyDescent="0.25"/>
    <row r="65" s="157" customFormat="1" x14ac:dyDescent="0.25"/>
    <row r="66" s="157" customFormat="1" x14ac:dyDescent="0.25"/>
    <row r="67" s="157" customFormat="1" x14ac:dyDescent="0.25"/>
    <row r="68" s="157" customFormat="1" x14ac:dyDescent="0.25"/>
    <row r="69" s="157" customFormat="1" x14ac:dyDescent="0.25"/>
    <row r="70" s="157" customFormat="1" x14ac:dyDescent="0.25"/>
    <row r="71" s="157" customFormat="1" x14ac:dyDescent="0.25"/>
    <row r="72" s="157" customFormat="1" x14ac:dyDescent="0.25"/>
    <row r="73" s="157" customFormat="1" x14ac:dyDescent="0.25"/>
    <row r="74" s="157" customFormat="1" x14ac:dyDescent="0.25"/>
    <row r="75" s="157" customFormat="1" x14ac:dyDescent="0.25"/>
    <row r="76" s="157" customFormat="1" x14ac:dyDescent="0.25"/>
    <row r="77" s="157" customFormat="1" x14ac:dyDescent="0.25"/>
    <row r="78" s="157" customFormat="1" x14ac:dyDescent="0.25"/>
    <row r="79" s="157" customFormat="1" x14ac:dyDescent="0.25"/>
    <row r="80" s="157" customFormat="1" x14ac:dyDescent="0.25"/>
    <row r="81" s="157" customFormat="1" x14ac:dyDescent="0.25"/>
    <row r="82" s="157" customFormat="1" x14ac:dyDescent="0.25"/>
    <row r="83" s="157" customFormat="1" x14ac:dyDescent="0.25"/>
    <row r="84" s="157" customFormat="1" x14ac:dyDescent="0.25"/>
    <row r="85" s="157" customFormat="1" x14ac:dyDescent="0.25"/>
    <row r="86" s="157" customFormat="1" x14ac:dyDescent="0.25"/>
    <row r="87" s="157" customFormat="1" x14ac:dyDescent="0.25"/>
    <row r="88" s="157" customFormat="1" x14ac:dyDescent="0.25"/>
    <row r="89" s="157" customFormat="1" x14ac:dyDescent="0.25"/>
    <row r="90" s="157" customFormat="1" x14ac:dyDescent="0.25"/>
    <row r="91" s="157" customFormat="1" x14ac:dyDescent="0.25"/>
    <row r="92" s="157" customFormat="1" x14ac:dyDescent="0.25"/>
    <row r="93" s="157" customFormat="1" x14ac:dyDescent="0.25"/>
    <row r="94" s="157" customFormat="1" x14ac:dyDescent="0.25"/>
    <row r="95" s="157" customFormat="1" x14ac:dyDescent="0.25"/>
    <row r="96" s="157" customFormat="1" x14ac:dyDescent="0.25"/>
    <row r="97" s="157" customFormat="1" x14ac:dyDescent="0.25"/>
    <row r="98" s="157" customFormat="1" x14ac:dyDescent="0.25"/>
    <row r="99" s="157" customFormat="1" x14ac:dyDescent="0.25"/>
    <row r="100" s="157" customFormat="1" x14ac:dyDescent="0.25"/>
    <row r="101" s="157" customFormat="1" x14ac:dyDescent="0.25"/>
    <row r="102" s="157" customFormat="1" x14ac:dyDescent="0.25"/>
    <row r="103" s="157" customFormat="1" x14ac:dyDescent="0.25"/>
    <row r="104" s="157" customFormat="1" x14ac:dyDescent="0.25"/>
    <row r="105" s="157" customFormat="1" x14ac:dyDescent="0.25"/>
    <row r="106" s="157" customFormat="1" x14ac:dyDescent="0.25"/>
    <row r="107" s="157" customFormat="1" x14ac:dyDescent="0.25"/>
    <row r="108" s="157" customFormat="1" x14ac:dyDescent="0.25"/>
    <row r="109" s="157" customFormat="1" x14ac:dyDescent="0.25"/>
    <row r="110" s="157" customFormat="1" x14ac:dyDescent="0.25"/>
    <row r="111" s="157" customFormat="1" x14ac:dyDescent="0.25"/>
    <row r="112" s="157" customFormat="1" x14ac:dyDescent="0.25"/>
    <row r="113" s="157" customFormat="1" x14ac:dyDescent="0.25"/>
    <row r="114" s="157" customFormat="1" x14ac:dyDescent="0.25"/>
    <row r="115" s="157" customFormat="1" x14ac:dyDescent="0.25"/>
    <row r="116" s="157" customFormat="1" x14ac:dyDescent="0.25"/>
    <row r="117" s="157" customFormat="1" x14ac:dyDescent="0.25"/>
    <row r="118" s="157" customFormat="1" x14ac:dyDescent="0.25"/>
    <row r="119" s="157" customFormat="1" x14ac:dyDescent="0.25"/>
    <row r="120" s="157" customFormat="1" x14ac:dyDescent="0.25"/>
    <row r="121" s="157" customFormat="1" x14ac:dyDescent="0.25"/>
    <row r="122" s="157" customFormat="1" x14ac:dyDescent="0.25"/>
    <row r="123" s="157" customFormat="1" x14ac:dyDescent="0.25"/>
    <row r="124" s="157" customFormat="1" x14ac:dyDescent="0.25"/>
    <row r="125" s="157" customFormat="1" x14ac:dyDescent="0.25"/>
    <row r="126" s="157" customFormat="1" x14ac:dyDescent="0.25"/>
    <row r="127" s="157" customFormat="1" x14ac:dyDescent="0.25"/>
    <row r="128" s="157" customFormat="1" x14ac:dyDescent="0.25"/>
    <row r="129" s="157" customFormat="1" x14ac:dyDescent="0.25"/>
    <row r="130" s="157" customFormat="1" x14ac:dyDescent="0.25"/>
    <row r="131" s="157" customFormat="1" x14ac:dyDescent="0.25"/>
    <row r="132" s="157" customFormat="1" x14ac:dyDescent="0.25"/>
    <row r="133" s="157" customFormat="1" x14ac:dyDescent="0.25"/>
    <row r="134" s="157" customFormat="1" x14ac:dyDescent="0.25"/>
    <row r="135" s="157" customFormat="1" x14ac:dyDescent="0.25"/>
    <row r="136" s="157" customFormat="1" x14ac:dyDescent="0.25"/>
    <row r="137" s="157" customFormat="1" x14ac:dyDescent="0.25"/>
    <row r="138" s="157" customFormat="1" x14ac:dyDescent="0.25"/>
    <row r="139" s="157" customFormat="1" x14ac:dyDescent="0.25"/>
    <row r="140" s="157" customFormat="1" x14ac:dyDescent="0.25"/>
    <row r="141" s="157" customFormat="1" x14ac:dyDescent="0.25"/>
    <row r="142" s="157" customFormat="1" x14ac:dyDescent="0.25"/>
    <row r="143" s="157" customFormat="1" x14ac:dyDescent="0.25"/>
    <row r="144" s="157" customFormat="1" x14ac:dyDescent="0.25"/>
    <row r="145" s="157" customFormat="1" x14ac:dyDescent="0.25"/>
    <row r="146" s="157" customFormat="1" x14ac:dyDescent="0.25"/>
    <row r="147" s="157" customFormat="1" x14ac:dyDescent="0.25"/>
    <row r="148" s="157" customFormat="1" x14ac:dyDescent="0.25"/>
    <row r="149" s="157" customFormat="1" x14ac:dyDescent="0.25"/>
    <row r="150" s="157" customFormat="1" x14ac:dyDescent="0.25"/>
    <row r="151" s="157" customFormat="1" x14ac:dyDescent="0.25"/>
    <row r="152" s="157" customFormat="1" x14ac:dyDescent="0.25"/>
    <row r="153" s="157" customFormat="1" x14ac:dyDescent="0.25"/>
    <row r="154" s="157" customFormat="1" x14ac:dyDescent="0.25"/>
    <row r="155" s="157" customFormat="1" x14ac:dyDescent="0.25"/>
    <row r="156" s="157" customFormat="1" x14ac:dyDescent="0.25"/>
    <row r="157" s="157" customFormat="1" x14ac:dyDescent="0.25"/>
    <row r="158" s="157" customFormat="1" x14ac:dyDescent="0.25"/>
    <row r="159" s="157" customFormat="1" x14ac:dyDescent="0.25"/>
    <row r="160" s="157" customFormat="1" x14ac:dyDescent="0.25"/>
    <row r="161" s="157" customFormat="1" x14ac:dyDescent="0.25"/>
    <row r="162" s="157" customFormat="1" x14ac:dyDescent="0.25"/>
    <row r="163" s="157" customFormat="1" x14ac:dyDescent="0.25"/>
    <row r="164" s="157" customFormat="1" x14ac:dyDescent="0.25"/>
    <row r="165" s="157" customFormat="1" x14ac:dyDescent="0.25"/>
    <row r="166" s="157" customFormat="1" x14ac:dyDescent="0.25"/>
    <row r="167" s="157" customFormat="1" x14ac:dyDescent="0.25"/>
    <row r="168" s="157" customFormat="1" x14ac:dyDescent="0.25"/>
    <row r="169" s="157" customFormat="1" x14ac:dyDescent="0.25"/>
    <row r="170" s="157" customFormat="1" x14ac:dyDescent="0.25"/>
    <row r="171" s="157" customFormat="1" x14ac:dyDescent="0.25"/>
    <row r="172" s="157" customFormat="1" x14ac:dyDescent="0.25"/>
    <row r="173" s="157" customFormat="1" x14ac:dyDescent="0.25"/>
    <row r="174" s="157" customFormat="1" x14ac:dyDescent="0.25"/>
    <row r="175" s="157" customFormat="1" x14ac:dyDescent="0.25"/>
  </sheetData>
  <sheetProtection password="B19B" sheet="1" selectLockedCells="1"/>
  <mergeCells count="5">
    <mergeCell ref="B4:I4"/>
    <mergeCell ref="A1:Q1"/>
    <mergeCell ref="J4:Q4"/>
    <mergeCell ref="B40:D40"/>
    <mergeCell ref="B41:D41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V80"/>
  <sheetViews>
    <sheetView workbookViewId="0">
      <selection activeCell="K21" sqref="K21"/>
    </sheetView>
  </sheetViews>
  <sheetFormatPr baseColWidth="10" defaultColWidth="11.42578125" defaultRowHeight="15" x14ac:dyDescent="0.25"/>
  <cols>
    <col min="1" max="1" width="47.85546875" customWidth="1"/>
    <col min="2" max="2" width="21.5703125" customWidth="1"/>
    <col min="3" max="4" width="15.140625" customWidth="1"/>
    <col min="5" max="5" width="14.5703125" customWidth="1"/>
    <col min="6" max="14" width="13.5703125" customWidth="1"/>
    <col min="15" max="22" width="11.42578125" style="157"/>
  </cols>
  <sheetData>
    <row r="1" spans="1:22" ht="15.75" x14ac:dyDescent="0.25">
      <c r="A1" s="701" t="s">
        <v>76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22" s="157" customFormat="1" x14ac:dyDescent="0.25"/>
    <row r="3" spans="1:22" s="9" customFormat="1" ht="12.75" x14ac:dyDescent="0.2"/>
    <row r="4" spans="1:22" s="10" customFormat="1" ht="29.25" customHeight="1" x14ac:dyDescent="0.2">
      <c r="A4" s="9"/>
      <c r="B4" s="9"/>
      <c r="C4" s="9"/>
      <c r="D4" s="9"/>
      <c r="E4" s="624" t="s">
        <v>263</v>
      </c>
      <c r="F4" s="834" t="s">
        <v>265</v>
      </c>
      <c r="G4" s="834"/>
      <c r="H4" s="834"/>
      <c r="I4" s="834"/>
      <c r="J4" s="834"/>
      <c r="K4" s="834"/>
      <c r="L4" s="834"/>
      <c r="M4" s="834"/>
      <c r="N4" s="835"/>
      <c r="O4" s="9"/>
      <c r="P4" s="9"/>
      <c r="Q4" s="9"/>
      <c r="R4" s="9"/>
      <c r="S4" s="9"/>
      <c r="T4" s="9"/>
      <c r="U4" s="9"/>
      <c r="V4" s="9"/>
    </row>
    <row r="5" spans="1:22" s="10" customFormat="1" ht="51" customHeight="1" x14ac:dyDescent="0.2">
      <c r="A5" s="469" t="s">
        <v>79</v>
      </c>
      <c r="B5" s="583" t="str">
        <f>"Montants des dépenses éligibles retenues dans la décision n° "&amp;Identification!E28</f>
        <v xml:space="preserve">Montants des dépenses éligibles retenues dans la décision n° </v>
      </c>
      <c r="C5" s="583" t="str">
        <f>"Montants des dépenses éligibles réalisées en 2022/2023"</f>
        <v>Montants des dépenses éligibles réalisées en 2022/2023</v>
      </c>
      <c r="D5" s="583" t="s">
        <v>264</v>
      </c>
      <c r="E5" s="583" t="s">
        <v>266</v>
      </c>
      <c r="F5" s="159">
        <f>'Dép.volet 2-Animation-2024-2025'!E76</f>
        <v>0</v>
      </c>
      <c r="G5" s="21" t="str">
        <f>'Dép.volet 2-Animation-2024-2025'!F76</f>
        <v>-</v>
      </c>
      <c r="H5" s="21" t="str">
        <f>'Dép.volet 2-Animation-2024-2025'!G76</f>
        <v>-</v>
      </c>
      <c r="I5" s="21" t="str">
        <f>'Dép.volet 2-Animation-2024-2025'!H76</f>
        <v>-</v>
      </c>
      <c r="J5" s="21" t="str">
        <f>'Dép.volet 2-Animation-2024-2025'!I76</f>
        <v>-</v>
      </c>
      <c r="K5" s="21" t="str">
        <f>'Dép.volet 2-Animation-2024-2025'!J76</f>
        <v>-</v>
      </c>
      <c r="L5" s="21" t="str">
        <f>'Dép.volet 2-Animation-2024-2025'!K76</f>
        <v>-</v>
      </c>
      <c r="M5" s="21" t="str">
        <f>'Dép.volet 2-Animation-2024-2025'!L76</f>
        <v>-</v>
      </c>
      <c r="N5" s="158" t="s">
        <v>105</v>
      </c>
      <c r="O5" s="9"/>
      <c r="P5" s="9"/>
      <c r="Q5" s="9"/>
      <c r="R5" s="9"/>
      <c r="S5" s="9"/>
      <c r="T5" s="9"/>
      <c r="U5" s="9"/>
      <c r="V5" s="9"/>
    </row>
    <row r="6" spans="1:22" s="10" customFormat="1" ht="15" customHeight="1" x14ac:dyDescent="0.2">
      <c r="A6" s="470" t="s">
        <v>78</v>
      </c>
      <c r="B6" s="581"/>
      <c r="C6" s="581"/>
      <c r="D6" s="581"/>
      <c r="E6" s="581"/>
      <c r="F6" s="480"/>
      <c r="G6" s="481"/>
      <c r="H6" s="481"/>
      <c r="I6" s="481"/>
      <c r="J6" s="481"/>
      <c r="K6" s="481"/>
      <c r="L6" s="481"/>
      <c r="M6" s="485"/>
      <c r="N6" s="476"/>
    </row>
    <row r="7" spans="1:22" s="10" customFormat="1" ht="15" customHeight="1" x14ac:dyDescent="0.2">
      <c r="A7" s="474" t="s">
        <v>72</v>
      </c>
      <c r="B7" s="584">
        <f>'Réalisation 2023'!I12</f>
        <v>0</v>
      </c>
      <c r="C7" s="584">
        <f>'Réalisation 2023'!Q12</f>
        <v>0</v>
      </c>
      <c r="D7" s="584">
        <v>0</v>
      </c>
      <c r="E7" s="611"/>
      <c r="F7" s="625"/>
      <c r="G7" s="626"/>
      <c r="H7" s="626"/>
      <c r="I7" s="626"/>
      <c r="J7" s="626"/>
      <c r="K7" s="626"/>
      <c r="L7" s="626"/>
      <c r="M7" s="627"/>
      <c r="N7" s="628">
        <f>SUM(F7:M7)</f>
        <v>0</v>
      </c>
    </row>
    <row r="8" spans="1:22" s="10" customFormat="1" ht="12.75" x14ac:dyDescent="0.2">
      <c r="A8" s="470" t="s">
        <v>192</v>
      </c>
      <c r="B8" s="585"/>
      <c r="C8" s="585"/>
      <c r="D8" s="585"/>
      <c r="E8" s="585"/>
      <c r="F8" s="629"/>
      <c r="G8" s="630"/>
      <c r="H8" s="630"/>
      <c r="I8" s="630"/>
      <c r="J8" s="630"/>
      <c r="K8" s="630"/>
      <c r="L8" s="630"/>
      <c r="M8" s="631"/>
      <c r="N8" s="632"/>
      <c r="O8" s="9"/>
      <c r="P8" s="9"/>
      <c r="Q8" s="9"/>
      <c r="R8" s="9"/>
      <c r="S8" s="9"/>
      <c r="T8" s="9"/>
      <c r="U8" s="9"/>
      <c r="V8" s="9"/>
    </row>
    <row r="9" spans="1:22" s="10" customFormat="1" ht="12.75" x14ac:dyDescent="0.2">
      <c r="A9" s="474" t="s">
        <v>196</v>
      </c>
      <c r="B9" s="584">
        <f>'Réalisation 2023'!I18</f>
        <v>0</v>
      </c>
      <c r="C9" s="584">
        <f>'Réalisation 2023'!Q18</f>
        <v>0</v>
      </c>
      <c r="D9" s="584">
        <f>'Synthèse montants présentés'!J12</f>
        <v>0</v>
      </c>
      <c r="E9" s="611"/>
      <c r="F9" s="633" t="e">
        <f>MAX(0,IF(ISERROR('Synthèse montants présentés'!B12*('Synthèse montants présentés'!$J$27-'Réalisation 2023'!$R$25)/'Synthèse montants présentés'!$J$27),"",'Synthèse montants présentés'!B12*('Synthèse montants présentés'!$J$27-'Réalisation 2023'!$R$25)/'Synthèse montants présentés'!$J$27))</f>
        <v>#VALUE!</v>
      </c>
      <c r="G9" s="634">
        <f>MAX(0,IF(ISERROR('Synthèse montants présentés'!C12*('Synthèse montants présentés'!$J$27-'Réalisation 2023'!$R$25)/'Synthèse montants présentés'!$J$27),0,'Synthèse montants présentés'!C12*('Synthèse montants présentés'!$J$27-'Réalisation 2023'!$R$25)/'Synthèse montants présentés'!$J$27))</f>
        <v>0</v>
      </c>
      <c r="H9" s="634">
        <f>MAX(0,IF(ISERROR('Synthèse montants présentés'!D12*('Synthèse montants présentés'!$J$27-'Réalisation 2023'!$R$25)/'Synthèse montants présentés'!$J$27),0,'Synthèse montants présentés'!D12*('Synthèse montants présentés'!$J$27-'Réalisation 2023'!$R$25)/'Synthèse montants présentés'!$J$27))</f>
        <v>0</v>
      </c>
      <c r="I9" s="634">
        <f>MAX(0,IF(ISERROR('Synthèse montants présentés'!E12*('Synthèse montants présentés'!$J$27-'Réalisation 2023'!$R$25)/'Synthèse montants présentés'!$J$27),0,'Synthèse montants présentés'!E12*('Synthèse montants présentés'!$J$27-'Réalisation 2023'!$R$25)/'Synthèse montants présentés'!$J$27))</f>
        <v>0</v>
      </c>
      <c r="J9" s="634">
        <f>MAX(0,IF(ISERROR('Synthèse montants présentés'!F12*('Synthèse montants présentés'!$J$27-'Réalisation 2023'!$R$25)/'Synthèse montants présentés'!$J$27),0,'Synthèse montants présentés'!F12*('Synthèse montants présentés'!$J$27-'Réalisation 2023'!$R$25)/'Synthèse montants présentés'!$J$27))</f>
        <v>0</v>
      </c>
      <c r="K9" s="634">
        <f>MAX(0,IF(ISERROR('Synthèse montants présentés'!G12*('Synthèse montants présentés'!$J$27-'Réalisation 2023'!$R$25)/'Synthèse montants présentés'!$J$27),0,'Synthèse montants présentés'!G12*('Synthèse montants présentés'!$J$27-'Réalisation 2023'!$R$25)/'Synthèse montants présentés'!$J$27))</f>
        <v>0</v>
      </c>
      <c r="L9" s="634">
        <f>MAX(0,IF(ISERROR('Synthèse montants présentés'!H12*('Synthèse montants présentés'!$J$27-'Réalisation 2023'!$R$25)/'Synthèse montants présentés'!$J$27),0,'Synthèse montants présentés'!H12*('Synthèse montants présentés'!$J$27-'Réalisation 2023'!$R$25)/'Synthèse montants présentés'!$J$27))</f>
        <v>0</v>
      </c>
      <c r="M9" s="635">
        <f>MAX(0,IF(ISERROR('Synthèse montants présentés'!I12*('Synthèse montants présentés'!$J$27-'Réalisation 2023'!$R$25)/'Synthèse montants présentés'!$J$27),0,'Synthèse montants présentés'!I12*('Synthèse montants présentés'!$J$27-'Réalisation 2023'!$R$25)/'Synthèse montants présentés'!$J$27))</f>
        <v>0</v>
      </c>
      <c r="N9" s="628" t="e">
        <f>SUM(F9:M9)</f>
        <v>#VALUE!</v>
      </c>
      <c r="O9" s="9"/>
      <c r="P9" s="9"/>
      <c r="Q9" s="9"/>
      <c r="R9" s="9"/>
      <c r="S9" s="9"/>
      <c r="T9" s="9"/>
      <c r="U9" s="9"/>
      <c r="V9" s="9"/>
    </row>
    <row r="10" spans="1:22" s="10" customFormat="1" ht="12.75" x14ac:dyDescent="0.2">
      <c r="A10" s="470" t="s">
        <v>80</v>
      </c>
      <c r="B10" s="585"/>
      <c r="C10" s="585"/>
      <c r="D10" s="585"/>
      <c r="E10" s="585"/>
      <c r="F10" s="629" t="e">
        <f>MAX(0,IF(ISERROR('Synthèse montants présentés'!B13*('Synthèse montants présentés'!$J$27-'Réalisation 2023'!$R$25)/'Synthèse montants présentés'!$J$27),"",'Synthèse montants présentés'!B13*('Synthèse montants présentés'!$J$27-'Réalisation 2023'!$R$25)/'Synthèse montants présentés'!$J$27))</f>
        <v>#VALUE!</v>
      </c>
      <c r="G10" s="630">
        <f>MAX(0,IF(ISERROR('Synthèse montants présentés'!C13*('Synthèse montants présentés'!$J$27-'Réalisation 2023'!$R$25)/'Synthèse montants présentés'!$J$27),0,'Synthèse montants présentés'!C13*('Synthèse montants présentés'!$J$27-'Réalisation 2023'!$R$25)/'Synthèse montants présentés'!$J$27))</f>
        <v>0</v>
      </c>
      <c r="H10" s="630">
        <f>MAX(0,IF(ISERROR('Synthèse montants présentés'!D13*('Synthèse montants présentés'!$J$27-'Réalisation 2023'!$R$25)/'Synthèse montants présentés'!$J$27),0,'Synthèse montants présentés'!D13*('Synthèse montants présentés'!$J$27-'Réalisation 2023'!$R$25)/'Synthèse montants présentés'!$J$27))</f>
        <v>0</v>
      </c>
      <c r="I10" s="630">
        <f>MAX(0,IF(ISERROR('Synthèse montants présentés'!E13*('Synthèse montants présentés'!$J$27-'Réalisation 2023'!$R$25)/'Synthèse montants présentés'!$J$27),0,'Synthèse montants présentés'!E13*('Synthèse montants présentés'!$J$27-'Réalisation 2023'!$R$25)/'Synthèse montants présentés'!$J$27))</f>
        <v>0</v>
      </c>
      <c r="J10" s="630">
        <f>MAX(0,IF(ISERROR('Synthèse montants présentés'!F13*('Synthèse montants présentés'!$J$27-'Réalisation 2023'!$R$25)/'Synthèse montants présentés'!$J$27),0,'Synthèse montants présentés'!F13*('Synthèse montants présentés'!$J$27-'Réalisation 2023'!$R$25)/'Synthèse montants présentés'!$J$27))</f>
        <v>0</v>
      </c>
      <c r="K10" s="630">
        <f>MAX(0,IF(ISERROR('Synthèse montants présentés'!G13*('Synthèse montants présentés'!$J$27-'Réalisation 2023'!$R$25)/'Synthèse montants présentés'!$J$27),0,'Synthèse montants présentés'!G13*('Synthèse montants présentés'!$J$27-'Réalisation 2023'!$R$25)/'Synthèse montants présentés'!$J$27))</f>
        <v>0</v>
      </c>
      <c r="L10" s="630">
        <f>MAX(0,IF(ISERROR('Synthèse montants présentés'!H13*('Synthèse montants présentés'!$J$27-'Réalisation 2023'!$R$25)/'Synthèse montants présentés'!$J$27),0,'Synthèse montants présentés'!H13*('Synthèse montants présentés'!$J$27-'Réalisation 2023'!$R$25)/'Synthèse montants présentés'!$J$27))</f>
        <v>0</v>
      </c>
      <c r="M10" s="631">
        <f>MAX(0,IF(ISERROR('Synthèse montants présentés'!I13*('Synthèse montants présentés'!$J$27-'Réalisation 2023'!$R$25)/'Synthèse montants présentés'!$J$27),0,'Synthèse montants présentés'!I13*('Synthèse montants présentés'!$J$27-'Réalisation 2023'!$R$25)/'Synthèse montants présentés'!$J$27))</f>
        <v>0</v>
      </c>
      <c r="N10" s="632"/>
      <c r="O10" s="9"/>
      <c r="P10" s="9"/>
      <c r="Q10" s="9"/>
      <c r="R10" s="9"/>
      <c r="S10" s="9"/>
      <c r="T10" s="9"/>
      <c r="U10" s="9"/>
      <c r="V10" s="9"/>
    </row>
    <row r="11" spans="1:22" s="10" customFormat="1" ht="12.75" x14ac:dyDescent="0.2">
      <c r="A11" s="474" t="s">
        <v>195</v>
      </c>
      <c r="B11" s="584">
        <f>'Réalisation 2023'!I24</f>
        <v>0</v>
      </c>
      <c r="C11" s="584">
        <f>'Réalisation 2023'!Q24</f>
        <v>0</v>
      </c>
      <c r="D11" s="584">
        <f>'Synthèse montants présentés'!J19</f>
        <v>0</v>
      </c>
      <c r="E11" s="611"/>
      <c r="F11" s="633" t="e">
        <f>MAX(0,IF(ISERROR('Synthèse montants présentés'!B19*('Synthèse montants présentés'!$J$27-'Réalisation 2023'!$R$25)/'Synthèse montants présentés'!$J$27),"",'Synthèse montants présentés'!B19*('Synthèse montants présentés'!$J$27-'Réalisation 2023'!$R$25)/'Synthèse montants présentés'!$J$27))</f>
        <v>#VALUE!</v>
      </c>
      <c r="G11" s="634">
        <f>MAX(0,IF(ISERROR('Synthèse montants présentés'!C19*('Synthèse montants présentés'!$J$27-'Réalisation 2023'!$R$25)/'Synthèse montants présentés'!$J$27),0,'Synthèse montants présentés'!C19*('Synthèse montants présentés'!$J$27-'Réalisation 2023'!$R$25)/'Synthèse montants présentés'!$J$27))</f>
        <v>0</v>
      </c>
      <c r="H11" s="634">
        <f>MAX(0,IF(ISERROR('Synthèse montants présentés'!D19*('Synthèse montants présentés'!$J$27-'Réalisation 2023'!$R$25)/'Synthèse montants présentés'!$J$27),0,'Synthèse montants présentés'!D19*('Synthèse montants présentés'!$J$27-'Réalisation 2023'!$R$25)/'Synthèse montants présentés'!$J$27))</f>
        <v>0</v>
      </c>
      <c r="I11" s="634">
        <f>MAX(0,IF(ISERROR('Synthèse montants présentés'!E19*('Synthèse montants présentés'!$J$27-'Réalisation 2023'!$R$25)/'Synthèse montants présentés'!$J$27),0,'Synthèse montants présentés'!E19*('Synthèse montants présentés'!$J$27-'Réalisation 2023'!$R$25)/'Synthèse montants présentés'!$J$27))</f>
        <v>0</v>
      </c>
      <c r="J11" s="634">
        <f>MAX(0,IF(ISERROR('Synthèse montants présentés'!F19*('Synthèse montants présentés'!$J$27-'Réalisation 2023'!$R$25)/'Synthèse montants présentés'!$J$27),0,'Synthèse montants présentés'!F19*('Synthèse montants présentés'!$J$27-'Réalisation 2023'!$R$25)/'Synthèse montants présentés'!$J$27))</f>
        <v>0</v>
      </c>
      <c r="K11" s="634">
        <f>MAX(0,IF(ISERROR('Synthèse montants présentés'!G19*('Synthèse montants présentés'!$J$27-'Réalisation 2023'!$R$25)/'Synthèse montants présentés'!$J$27),0,'Synthèse montants présentés'!G19*('Synthèse montants présentés'!$J$27-'Réalisation 2023'!$R$25)/'Synthèse montants présentés'!$J$27))</f>
        <v>0</v>
      </c>
      <c r="L11" s="634">
        <f>MAX(0,IF(ISERROR('Synthèse montants présentés'!H19*('Synthèse montants présentés'!$J$27-'Réalisation 2023'!$R$25)/'Synthèse montants présentés'!$J$27),0,'Synthèse montants présentés'!H19*('Synthèse montants présentés'!$J$27-'Réalisation 2023'!$R$25)/'Synthèse montants présentés'!$J$27))</f>
        <v>0</v>
      </c>
      <c r="M11" s="635">
        <f>MAX(0,IF(ISERROR('Synthèse montants présentés'!I19*('Synthèse montants présentés'!$J$27-'Réalisation 2023'!$R$25)/'Synthèse montants présentés'!$J$27),0,'Synthèse montants présentés'!I19*('Synthèse montants présentés'!$J$27-'Réalisation 2023'!$R$25)/'Synthèse montants présentés'!$J$27))</f>
        <v>0</v>
      </c>
      <c r="N11" s="628" t="e">
        <f>SUM(F11:M11)</f>
        <v>#VALUE!</v>
      </c>
      <c r="O11" s="9"/>
      <c r="P11" s="9"/>
      <c r="Q11" s="9"/>
      <c r="R11" s="9"/>
      <c r="S11" s="9"/>
      <c r="T11" s="9"/>
      <c r="U11" s="9"/>
      <c r="V11" s="9"/>
    </row>
    <row r="12" spans="1:22" s="10" customFormat="1" ht="12.75" x14ac:dyDescent="0.2">
      <c r="A12" s="470" t="s">
        <v>190</v>
      </c>
      <c r="B12" s="585"/>
      <c r="C12" s="585"/>
      <c r="D12" s="585"/>
      <c r="E12" s="585"/>
      <c r="F12" s="629" t="e">
        <f>MAX(0,IF(ISERROR('Synthèse montants présentés'!B20*('Synthèse montants présentés'!$J$27-'Réalisation 2023'!$R$25)/'Synthèse montants présentés'!$J$27),"",'Synthèse montants présentés'!B20*('Synthèse montants présentés'!$J$27-'Réalisation 2023'!$R$25)/'Synthèse montants présentés'!$J$27))</f>
        <v>#VALUE!</v>
      </c>
      <c r="G12" s="630">
        <f>MAX(0,IF(ISERROR('Synthèse montants présentés'!C20*('Synthèse montants présentés'!$J$27-'Réalisation 2023'!$R$25)/'Synthèse montants présentés'!$J$27),0,'Synthèse montants présentés'!C20*('Synthèse montants présentés'!$J$27-'Réalisation 2023'!$R$25)/'Synthèse montants présentés'!$J$27))</f>
        <v>0</v>
      </c>
      <c r="H12" s="630">
        <f>MAX(0,IF(ISERROR('Synthèse montants présentés'!D20*('Synthèse montants présentés'!$J$27-'Réalisation 2023'!$R$25)/'Synthèse montants présentés'!$J$27),0,'Synthèse montants présentés'!D20*('Synthèse montants présentés'!$J$27-'Réalisation 2023'!$R$25)/'Synthèse montants présentés'!$J$27))</f>
        <v>0</v>
      </c>
      <c r="I12" s="630">
        <f>MAX(0,IF(ISERROR('Synthèse montants présentés'!E20*('Synthèse montants présentés'!$J$27-'Réalisation 2023'!$R$25)/'Synthèse montants présentés'!$J$27),0,'Synthèse montants présentés'!E20*('Synthèse montants présentés'!$J$27-'Réalisation 2023'!$R$25)/'Synthèse montants présentés'!$J$27))</f>
        <v>0</v>
      </c>
      <c r="J12" s="630">
        <f>MAX(0,IF(ISERROR('Synthèse montants présentés'!F20*('Synthèse montants présentés'!$J$27-'Réalisation 2023'!$R$25)/'Synthèse montants présentés'!$J$27),0,'Synthèse montants présentés'!F20*('Synthèse montants présentés'!$J$27-'Réalisation 2023'!$R$25)/'Synthèse montants présentés'!$J$27))</f>
        <v>0</v>
      </c>
      <c r="K12" s="630">
        <f>MAX(0,IF(ISERROR('Synthèse montants présentés'!G20*('Synthèse montants présentés'!$J$27-'Réalisation 2023'!$R$25)/'Synthèse montants présentés'!$J$27),0,'Synthèse montants présentés'!G20*('Synthèse montants présentés'!$J$27-'Réalisation 2023'!$R$25)/'Synthèse montants présentés'!$J$27))</f>
        <v>0</v>
      </c>
      <c r="L12" s="630">
        <f>MAX(0,IF(ISERROR('Synthèse montants présentés'!H20*('Synthèse montants présentés'!$J$27-'Réalisation 2023'!$R$25)/'Synthèse montants présentés'!$J$27),0,'Synthèse montants présentés'!H20*('Synthèse montants présentés'!$J$27-'Réalisation 2023'!$R$25)/'Synthèse montants présentés'!$J$27))</f>
        <v>0</v>
      </c>
      <c r="M12" s="631">
        <f>MAX(0,IF(ISERROR('Synthèse montants présentés'!I20*('Synthèse montants présentés'!$J$27-'Réalisation 2023'!$R$25)/'Synthèse montants présentés'!$J$27),0,'Synthèse montants présentés'!I20*('Synthèse montants présentés'!$J$27-'Réalisation 2023'!$R$25)/'Synthèse montants présentés'!$J$27))</f>
        <v>0</v>
      </c>
      <c r="N12" s="632"/>
      <c r="O12" s="9"/>
      <c r="P12" s="9"/>
      <c r="Q12" s="9"/>
      <c r="R12" s="9"/>
      <c r="S12" s="9"/>
      <c r="T12" s="9"/>
      <c r="U12" s="9"/>
      <c r="V12" s="9"/>
    </row>
    <row r="13" spans="1:22" s="10" customFormat="1" ht="12.75" x14ac:dyDescent="0.2">
      <c r="A13" s="474" t="s">
        <v>194</v>
      </c>
      <c r="B13" s="584">
        <v>0</v>
      </c>
      <c r="C13" s="584">
        <v>0</v>
      </c>
      <c r="D13" s="584">
        <f>'Synthèse montants présentés'!J26</f>
        <v>0</v>
      </c>
      <c r="E13" s="611"/>
      <c r="F13" s="633" t="e">
        <f>MAX(0,IF(ISERROR('Synthèse montants présentés'!B26*('Synthèse montants présentés'!$J$27-'Réalisation 2023'!$R$25)/'Synthèse montants présentés'!$J$27),"",'Synthèse montants présentés'!B26*('Synthèse montants présentés'!$J$27-'Réalisation 2023'!$R$25)/'Synthèse montants présentés'!$J$27))</f>
        <v>#VALUE!</v>
      </c>
      <c r="G13" s="634">
        <f>MAX(0,IF(ISERROR('Synthèse montants présentés'!C26*('Synthèse montants présentés'!$J$27-'Réalisation 2023'!$R$25)/'Synthèse montants présentés'!$J$27),0,'Synthèse montants présentés'!C26*('Synthèse montants présentés'!$J$27-'Réalisation 2023'!$R$25)/'Synthèse montants présentés'!$J$27))</f>
        <v>0</v>
      </c>
      <c r="H13" s="634">
        <f>MAX(0,IF(ISERROR('Synthèse montants présentés'!D26*('Synthèse montants présentés'!$J$27-'Réalisation 2023'!$R$25)/'Synthèse montants présentés'!$J$27),0,'Synthèse montants présentés'!D26*('Synthèse montants présentés'!$J$27-'Réalisation 2023'!$R$25)/'Synthèse montants présentés'!$J$27))</f>
        <v>0</v>
      </c>
      <c r="I13" s="634">
        <f>MAX(0,IF(ISERROR('Synthèse montants présentés'!E26*('Synthèse montants présentés'!$J$27-'Réalisation 2023'!$R$25)/'Synthèse montants présentés'!$J$27),0,'Synthèse montants présentés'!E26*('Synthèse montants présentés'!$J$27-'Réalisation 2023'!$R$25)/'Synthèse montants présentés'!$J$27))</f>
        <v>0</v>
      </c>
      <c r="J13" s="634">
        <f>MAX(0,IF(ISERROR('Synthèse montants présentés'!F26*('Synthèse montants présentés'!$J$27-'Réalisation 2023'!$R$25)/'Synthèse montants présentés'!$J$27),0,'Synthèse montants présentés'!F26*('Synthèse montants présentés'!$J$27-'Réalisation 2023'!$R$25)/'Synthèse montants présentés'!$J$27))</f>
        <v>0</v>
      </c>
      <c r="K13" s="634">
        <f>MAX(0,IF(ISERROR('Synthèse montants présentés'!G26*('Synthèse montants présentés'!$J$27-'Réalisation 2023'!$R$25)/'Synthèse montants présentés'!$J$27),0,'Synthèse montants présentés'!G26*('Synthèse montants présentés'!$J$27-'Réalisation 2023'!$R$25)/'Synthèse montants présentés'!$J$27))</f>
        <v>0</v>
      </c>
      <c r="L13" s="634">
        <f>MAX(0,IF(ISERROR('Synthèse montants présentés'!H26*('Synthèse montants présentés'!$J$27-'Réalisation 2023'!$R$25)/'Synthèse montants présentés'!$J$27),0,'Synthèse montants présentés'!H26*('Synthèse montants présentés'!$J$27-'Réalisation 2023'!$R$25)/'Synthèse montants présentés'!$J$27))</f>
        <v>0</v>
      </c>
      <c r="M13" s="635">
        <f>MAX(0,IF(ISERROR('Synthèse montants présentés'!I26*('Synthèse montants présentés'!$J$27-'Réalisation 2023'!$R$25)/'Synthèse montants présentés'!$J$27),0,'Synthèse montants présentés'!I26*('Synthèse montants présentés'!$J$27-'Réalisation 2023'!$R$25)/'Synthèse montants présentés'!$J$27))</f>
        <v>0</v>
      </c>
      <c r="N13" s="628" t="e">
        <f>SUM(F13:M13)</f>
        <v>#VALUE!</v>
      </c>
      <c r="O13" s="9"/>
      <c r="P13" s="9"/>
      <c r="Q13" s="9"/>
      <c r="R13" s="9"/>
      <c r="S13" s="9"/>
      <c r="T13" s="9"/>
      <c r="U13" s="9"/>
      <c r="V13" s="9"/>
    </row>
    <row r="14" spans="1:22" s="10" customFormat="1" ht="12.75" x14ac:dyDescent="0.2">
      <c r="A14" s="475" t="s">
        <v>69</v>
      </c>
      <c r="B14" s="586">
        <f>B7+B9+B11</f>
        <v>0</v>
      </c>
      <c r="C14" s="586">
        <f>C7+C9+C11</f>
        <v>0</v>
      </c>
      <c r="D14" s="586">
        <f>D7+D9+D11+D13</f>
        <v>0</v>
      </c>
      <c r="E14" s="586">
        <f>'Réalisation 2023'!R25</f>
        <v>0</v>
      </c>
      <c r="F14" s="636" t="e">
        <f t="shared" ref="F14:N14" si="0">SUM(F9,F11,F13)</f>
        <v>#VALUE!</v>
      </c>
      <c r="G14" s="637">
        <f t="shared" si="0"/>
        <v>0</v>
      </c>
      <c r="H14" s="637">
        <f t="shared" si="0"/>
        <v>0</v>
      </c>
      <c r="I14" s="637">
        <f t="shared" si="0"/>
        <v>0</v>
      </c>
      <c r="J14" s="637">
        <f t="shared" si="0"/>
        <v>0</v>
      </c>
      <c r="K14" s="637">
        <f t="shared" si="0"/>
        <v>0</v>
      </c>
      <c r="L14" s="637">
        <f t="shared" si="0"/>
        <v>0</v>
      </c>
      <c r="M14" s="638">
        <f t="shared" si="0"/>
        <v>0</v>
      </c>
      <c r="N14" s="639" t="e">
        <f t="shared" si="0"/>
        <v>#VALUE!</v>
      </c>
      <c r="O14" s="9"/>
      <c r="P14" s="9"/>
      <c r="Q14" s="9"/>
      <c r="R14" s="9"/>
      <c r="S14" s="9"/>
      <c r="T14" s="9"/>
      <c r="U14" s="9"/>
      <c r="V14" s="9"/>
    </row>
    <row r="15" spans="1:22" s="10" customFormat="1" ht="12.75" x14ac:dyDescent="0.2">
      <c r="A15" s="175"/>
      <c r="B15" s="175"/>
      <c r="C15" s="175"/>
      <c r="D15" s="175"/>
      <c r="E15" s="175"/>
      <c r="F15" s="177"/>
      <c r="G15" s="9"/>
      <c r="O15" s="9"/>
      <c r="P15" s="9"/>
      <c r="Q15" s="9"/>
      <c r="R15" s="9"/>
      <c r="S15" s="9"/>
      <c r="T15" s="9"/>
      <c r="U15" s="9"/>
      <c r="V15" s="9"/>
    </row>
    <row r="16" spans="1:22" s="492" customFormat="1" ht="19.5" customHeight="1" x14ac:dyDescent="0.25">
      <c r="A16" s="470" t="s">
        <v>197</v>
      </c>
      <c r="B16" s="582"/>
      <c r="C16" s="582"/>
      <c r="D16" s="582"/>
      <c r="E16" s="582"/>
      <c r="F16" s="490" t="str">
        <f>IF(ISNA(VLOOKUP(F5,'Intervenants et coûts-j'!$B$4:$F$12,5,FALSE)),"",VLOOKUP(F5,'Intervenants et coûts-j'!$B$4:$F$12,5,FALSE))</f>
        <v/>
      </c>
      <c r="G16" s="490" t="str">
        <f>IF(ISNA(VLOOKUP(G5,'Intervenants et coûts-j'!$B$4:$F$12,5,FALSE)),"",VLOOKUP(G5,'Intervenants et coûts-j'!$B$4:$F$12,5,FALSE))</f>
        <v/>
      </c>
      <c r="H16" s="490" t="str">
        <f>IF(ISNA(VLOOKUP(H5,'Intervenants et coûts-j'!$B$4:$F$12,5,FALSE)),"",VLOOKUP(H5,'Intervenants et coûts-j'!$B$4:$F$12,5,FALSE))</f>
        <v/>
      </c>
      <c r="I16" s="490" t="str">
        <f>IF(ISNA(VLOOKUP(I5,'Intervenants et coûts-j'!$B$4:$F$12,5,FALSE)),"",VLOOKUP(I5,'Intervenants et coûts-j'!$B$4:$F$12,5,FALSE))</f>
        <v/>
      </c>
      <c r="J16" s="490" t="str">
        <f>IF(ISNA(VLOOKUP(J5,'Intervenants et coûts-j'!$B$4:$F$12,5,FALSE)),"",VLOOKUP(J5,'Intervenants et coûts-j'!$B$4:$F$12,5,FALSE))</f>
        <v/>
      </c>
      <c r="K16" s="490" t="str">
        <f>IF(ISNA(VLOOKUP(K5,'Intervenants et coûts-j'!$B$4:$F$12,5,FALSE)),"",VLOOKUP(K5,'Intervenants et coûts-j'!$B$4:$F$12,5,FALSE))</f>
        <v/>
      </c>
      <c r="L16" s="490" t="str">
        <f>IF(ISNA(VLOOKUP(L5,'Intervenants et coûts-j'!$B$4:$F$12,5,FALSE)),"",VLOOKUP(L5,'Intervenants et coûts-j'!$B$4:$F$12,5,FALSE))</f>
        <v/>
      </c>
      <c r="M16" s="490" t="str">
        <f>IF(ISNA(VLOOKUP(M5,'Intervenants et coûts-j'!$B$4:$F$12,5,FALSE)),"",VLOOKUP(M5,'Intervenants et coûts-j'!$B$4:$F$12,5,FALSE))</f>
        <v/>
      </c>
      <c r="N16" s="491" t="s">
        <v>57</v>
      </c>
      <c r="O16" s="580"/>
      <c r="P16" s="580"/>
      <c r="Q16" s="580"/>
      <c r="R16" s="580"/>
      <c r="S16" s="580"/>
      <c r="T16" s="580"/>
      <c r="U16" s="580"/>
      <c r="V16" s="580"/>
    </row>
    <row r="17" spans="1:22" s="492" customFormat="1" ht="19.5" customHeight="1" x14ac:dyDescent="0.25">
      <c r="A17" s="494" t="s">
        <v>212</v>
      </c>
      <c r="B17" s="494"/>
      <c r="C17" s="494"/>
      <c r="D17" s="494"/>
      <c r="E17" s="494"/>
      <c r="F17" s="493" t="str">
        <f>IF(ISERROR(F14*F16),"",F14*F16)</f>
        <v/>
      </c>
      <c r="G17" s="493" t="str">
        <f t="shared" ref="G17:M17" si="1">IF(ISERROR(G14*G16),"",G14*G16)</f>
        <v/>
      </c>
      <c r="H17" s="493" t="str">
        <f t="shared" si="1"/>
        <v/>
      </c>
      <c r="I17" s="493" t="str">
        <f t="shared" si="1"/>
        <v/>
      </c>
      <c r="J17" s="493" t="str">
        <f t="shared" si="1"/>
        <v/>
      </c>
      <c r="K17" s="493" t="str">
        <f t="shared" si="1"/>
        <v/>
      </c>
      <c r="L17" s="493" t="str">
        <f t="shared" si="1"/>
        <v/>
      </c>
      <c r="M17" s="493" t="str">
        <f t="shared" si="1"/>
        <v/>
      </c>
      <c r="N17" s="493">
        <f>SUM(F17:M17)</f>
        <v>0</v>
      </c>
      <c r="O17" s="580"/>
      <c r="P17" s="580"/>
      <c r="Q17" s="580"/>
      <c r="R17" s="580"/>
      <c r="S17" s="580"/>
      <c r="T17" s="580"/>
      <c r="U17" s="580"/>
      <c r="V17" s="580"/>
    </row>
    <row r="18" spans="1:22" s="157" customFormat="1" x14ac:dyDescent="0.25">
      <c r="A18" s="489"/>
      <c r="B18" s="489"/>
      <c r="C18" s="489"/>
      <c r="D18" s="489"/>
      <c r="E18" s="489"/>
    </row>
    <row r="19" spans="1:22" s="157" customFormat="1" x14ac:dyDescent="0.25">
      <c r="A19" s="836" t="s">
        <v>253</v>
      </c>
      <c r="B19" s="836"/>
      <c r="C19" s="836"/>
      <c r="D19" s="836"/>
      <c r="E19" s="836"/>
    </row>
    <row r="20" spans="1:22" s="157" customFormat="1" x14ac:dyDescent="0.25">
      <c r="A20" s="609" t="s">
        <v>255</v>
      </c>
      <c r="B20" s="608"/>
      <c r="C20" s="608"/>
      <c r="D20" s="608"/>
      <c r="E20" s="608"/>
      <c r="L20" s="612"/>
    </row>
    <row r="21" spans="1:22" s="157" customFormat="1" x14ac:dyDescent="0.25">
      <c r="A21" s="610" t="s">
        <v>254</v>
      </c>
      <c r="B21" s="489"/>
      <c r="C21" s="489"/>
      <c r="D21" s="489"/>
      <c r="E21" s="489"/>
    </row>
    <row r="22" spans="1:22" s="157" customFormat="1" x14ac:dyDescent="0.25">
      <c r="A22" s="489"/>
      <c r="B22" s="489"/>
      <c r="C22" s="489"/>
      <c r="D22" s="489"/>
      <c r="E22" s="489"/>
    </row>
    <row r="23" spans="1:22" s="18" customFormat="1" ht="18" customHeight="1" x14ac:dyDescent="0.2">
      <c r="A23" s="511"/>
      <c r="B23" s="512"/>
      <c r="C23" s="512"/>
      <c r="D23" s="512"/>
      <c r="E23" s="512"/>
      <c r="F23" s="524"/>
      <c r="G23" s="512"/>
      <c r="H23" s="512"/>
      <c r="I23" s="512"/>
      <c r="J23" s="524"/>
      <c r="K23" s="513"/>
      <c r="M23" s="188"/>
      <c r="N23" s="187"/>
    </row>
    <row r="24" spans="1:22" s="18" customFormat="1" ht="18" customHeight="1" x14ac:dyDescent="0.2">
      <c r="A24" s="514" t="s">
        <v>237</v>
      </c>
      <c r="B24" s="523"/>
      <c r="C24" s="523"/>
      <c r="D24" s="523"/>
      <c r="E24" s="523"/>
      <c r="F24" s="9" t="s">
        <v>242</v>
      </c>
      <c r="K24" s="515"/>
      <c r="M24" s="188"/>
      <c r="N24" s="187"/>
    </row>
    <row r="25" spans="1:22" s="18" customFormat="1" ht="18" customHeight="1" x14ac:dyDescent="0.2">
      <c r="A25" s="514" t="s">
        <v>239</v>
      </c>
      <c r="B25" s="523"/>
      <c r="C25" s="523"/>
      <c r="D25" s="523"/>
      <c r="E25" s="523"/>
      <c r="F25" s="9" t="s">
        <v>242</v>
      </c>
      <c r="I25" s="379"/>
      <c r="K25" s="515"/>
      <c r="M25" s="188"/>
      <c r="N25" s="187"/>
    </row>
    <row r="26" spans="1:22" s="18" customFormat="1" ht="18" customHeight="1" x14ac:dyDescent="0.2">
      <c r="A26" s="514" t="s">
        <v>240</v>
      </c>
      <c r="B26" s="523"/>
      <c r="C26" s="523"/>
      <c r="D26" s="523"/>
      <c r="E26" s="523"/>
      <c r="F26" s="9" t="s">
        <v>242</v>
      </c>
      <c r="I26" s="381"/>
      <c r="K26" s="516"/>
      <c r="M26" s="188"/>
      <c r="N26" s="187"/>
    </row>
    <row r="27" spans="1:22" s="18" customFormat="1" ht="18" customHeight="1" x14ac:dyDescent="0.2">
      <c r="A27" s="514" t="s">
        <v>241</v>
      </c>
      <c r="B27" s="523"/>
      <c r="C27" s="523"/>
      <c r="D27" s="523"/>
      <c r="E27" s="523"/>
      <c r="J27" s="521" t="s">
        <v>238</v>
      </c>
      <c r="K27" s="517"/>
      <c r="M27" s="188"/>
      <c r="N27" s="187"/>
    </row>
    <row r="28" spans="1:22" s="18" customFormat="1" ht="12.75" x14ac:dyDescent="0.2">
      <c r="A28" s="525"/>
      <c r="F28" s="523"/>
      <c r="I28" s="345"/>
      <c r="K28" s="517"/>
      <c r="M28" s="188"/>
      <c r="N28" s="187"/>
    </row>
    <row r="29" spans="1:22" s="18" customFormat="1" ht="12.75" x14ac:dyDescent="0.2">
      <c r="A29" s="525"/>
      <c r="F29" s="523"/>
      <c r="I29" s="345"/>
      <c r="K29" s="517"/>
      <c r="M29" s="188"/>
      <c r="N29" s="187"/>
    </row>
    <row r="30" spans="1:22" s="18" customFormat="1" ht="12.75" x14ac:dyDescent="0.2">
      <c r="A30" s="526"/>
      <c r="B30" s="530"/>
      <c r="C30" s="530"/>
      <c r="D30" s="530"/>
      <c r="E30" s="530"/>
      <c r="F30" s="519"/>
      <c r="G30" s="519"/>
      <c r="H30" s="519"/>
      <c r="I30" s="519"/>
      <c r="J30" s="530"/>
      <c r="K30" s="520"/>
      <c r="M30" s="188"/>
      <c r="N30" s="187"/>
    </row>
    <row r="31" spans="1:22" s="157" customFormat="1" x14ac:dyDescent="0.25">
      <c r="A31" s="489"/>
      <c r="B31" s="489"/>
      <c r="C31" s="489"/>
      <c r="D31" s="489"/>
      <c r="E31" s="489"/>
    </row>
    <row r="32" spans="1:22" x14ac:dyDescent="0.25">
      <c r="A32" s="72" t="s">
        <v>2</v>
      </c>
      <c r="B32" s="824">
        <f>'Réalisation 2023'!B40:D40</f>
        <v>0</v>
      </c>
      <c r="C32" s="825"/>
      <c r="D32" s="825"/>
      <c r="E32" s="826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1:14" x14ac:dyDescent="0.25">
      <c r="A33" s="281" t="s">
        <v>3</v>
      </c>
      <c r="B33" s="827">
        <f>'Réalisation 2023'!B41:D41</f>
        <v>0</v>
      </c>
      <c r="C33" s="828"/>
      <c r="D33" s="828"/>
      <c r="E33" s="829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1:14" s="157" customFormat="1" x14ac:dyDescent="0.25"/>
    <row r="35" spans="1:14" s="157" customFormat="1" x14ac:dyDescent="0.25"/>
    <row r="36" spans="1:14" s="157" customFormat="1" x14ac:dyDescent="0.25"/>
    <row r="37" spans="1:14" s="157" customFormat="1" x14ac:dyDescent="0.25"/>
    <row r="38" spans="1:14" s="157" customFormat="1" x14ac:dyDescent="0.25"/>
    <row r="39" spans="1:14" s="157" customFormat="1" x14ac:dyDescent="0.25"/>
    <row r="40" spans="1:14" s="157" customFormat="1" x14ac:dyDescent="0.25"/>
    <row r="41" spans="1:14" s="157" customFormat="1" x14ac:dyDescent="0.25"/>
    <row r="42" spans="1:14" s="157" customFormat="1" x14ac:dyDescent="0.25"/>
    <row r="43" spans="1:14" s="157" customFormat="1" x14ac:dyDescent="0.25"/>
    <row r="44" spans="1:14" s="157" customFormat="1" x14ac:dyDescent="0.25"/>
    <row r="45" spans="1:14" s="157" customFormat="1" x14ac:dyDescent="0.25"/>
    <row r="46" spans="1:14" s="157" customFormat="1" x14ac:dyDescent="0.25"/>
    <row r="47" spans="1:14" s="157" customFormat="1" x14ac:dyDescent="0.25"/>
    <row r="48" spans="1:14" s="157" customFormat="1" x14ac:dyDescent="0.25"/>
    <row r="49" s="157" customFormat="1" x14ac:dyDescent="0.25"/>
    <row r="50" s="157" customFormat="1" x14ac:dyDescent="0.25"/>
    <row r="51" s="157" customFormat="1" x14ac:dyDescent="0.25"/>
    <row r="52" s="157" customFormat="1" x14ac:dyDescent="0.25"/>
    <row r="53" s="157" customFormat="1" x14ac:dyDescent="0.25"/>
    <row r="54" s="157" customFormat="1" x14ac:dyDescent="0.25"/>
    <row r="55" s="157" customFormat="1" x14ac:dyDescent="0.25"/>
    <row r="56" s="157" customFormat="1" x14ac:dyDescent="0.25"/>
    <row r="57" s="157" customFormat="1" x14ac:dyDescent="0.25"/>
    <row r="58" s="157" customFormat="1" x14ac:dyDescent="0.25"/>
    <row r="59" s="157" customFormat="1" x14ac:dyDescent="0.25"/>
    <row r="60" s="157" customFormat="1" x14ac:dyDescent="0.25"/>
    <row r="61" s="157" customFormat="1" x14ac:dyDescent="0.25"/>
    <row r="62" s="157" customFormat="1" x14ac:dyDescent="0.25"/>
    <row r="63" s="157" customFormat="1" x14ac:dyDescent="0.25"/>
    <row r="64" s="157" customFormat="1" x14ac:dyDescent="0.25"/>
    <row r="65" s="157" customFormat="1" x14ac:dyDescent="0.25"/>
    <row r="66" s="157" customFormat="1" x14ac:dyDescent="0.25"/>
    <row r="67" s="157" customFormat="1" x14ac:dyDescent="0.25"/>
    <row r="68" s="157" customFormat="1" x14ac:dyDescent="0.25"/>
    <row r="69" s="157" customFormat="1" x14ac:dyDescent="0.25"/>
    <row r="70" s="157" customFormat="1" x14ac:dyDescent="0.25"/>
    <row r="71" s="157" customFormat="1" x14ac:dyDescent="0.25"/>
    <row r="72" s="157" customFormat="1" x14ac:dyDescent="0.25"/>
    <row r="73" s="157" customFormat="1" x14ac:dyDescent="0.25"/>
    <row r="74" s="157" customFormat="1" x14ac:dyDescent="0.25"/>
    <row r="75" s="157" customFormat="1" x14ac:dyDescent="0.25"/>
    <row r="76" s="157" customFormat="1" x14ac:dyDescent="0.25"/>
    <row r="77" s="157" customFormat="1" x14ac:dyDescent="0.25"/>
    <row r="78" s="157" customFormat="1" x14ac:dyDescent="0.25"/>
    <row r="79" s="157" customFormat="1" x14ac:dyDescent="0.25"/>
    <row r="80" s="157" customFormat="1" x14ac:dyDescent="0.25"/>
  </sheetData>
  <sheetProtection password="B19B" sheet="1" selectLockedCells="1"/>
  <mergeCells count="5">
    <mergeCell ref="A1:N1"/>
    <mergeCell ref="B32:E32"/>
    <mergeCell ref="B33:E33"/>
    <mergeCell ref="F4:N4"/>
    <mergeCell ref="A19:E19"/>
  </mergeCell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2:P65"/>
  <sheetViews>
    <sheetView workbookViewId="0">
      <selection activeCell="M10" sqref="M10"/>
    </sheetView>
  </sheetViews>
  <sheetFormatPr baseColWidth="10" defaultRowHeight="12.75" x14ac:dyDescent="0.2"/>
  <cols>
    <col min="1" max="1" width="5.7109375" style="10" customWidth="1"/>
    <col min="2" max="2" width="34.140625" style="10" customWidth="1"/>
    <col min="3" max="3" width="6.85546875" style="10" bestFit="1" customWidth="1"/>
    <col min="4" max="4" width="5.7109375" style="10" customWidth="1"/>
    <col min="5" max="5" width="27.85546875" style="10" bestFit="1" customWidth="1"/>
    <col min="6" max="6" width="6.85546875" style="10" bestFit="1" customWidth="1"/>
    <col min="7" max="7" width="5.7109375" style="10" customWidth="1"/>
    <col min="8" max="8" width="16.7109375" style="10" customWidth="1"/>
    <col min="9" max="9" width="25.28515625" style="10" bestFit="1" customWidth="1"/>
    <col min="10" max="10" width="2.85546875" style="10" bestFit="1" customWidth="1"/>
    <col min="11" max="11" width="5" style="10" customWidth="1"/>
    <col min="12" max="12" width="5.7109375" style="10" customWidth="1"/>
    <col min="13" max="13" width="16.7109375" style="10" customWidth="1"/>
    <col min="14" max="14" width="5" style="10" customWidth="1"/>
    <col min="15" max="15" width="5.7109375" style="10" customWidth="1"/>
    <col min="16" max="16" width="16.7109375" style="10" customWidth="1"/>
    <col min="17" max="17" width="5" style="10" customWidth="1"/>
    <col min="18" max="18" width="5.7109375" style="10" customWidth="1"/>
    <col min="19" max="19" width="16.7109375" style="10" customWidth="1"/>
    <col min="20" max="20" width="5" style="10" customWidth="1"/>
    <col min="21" max="16384" width="11.42578125" style="10"/>
  </cols>
  <sheetData>
    <row r="2" spans="2:16" x14ac:dyDescent="0.2">
      <c r="B2" s="196" t="s">
        <v>83</v>
      </c>
      <c r="C2" s="196" t="s">
        <v>98</v>
      </c>
      <c r="E2" s="196" t="s">
        <v>84</v>
      </c>
      <c r="F2" s="196" t="s">
        <v>98</v>
      </c>
      <c r="I2" s="196" t="s">
        <v>109</v>
      </c>
      <c r="J2" s="196" t="s">
        <v>97</v>
      </c>
      <c r="M2" s="196" t="s">
        <v>163</v>
      </c>
      <c r="P2" s="196" t="s">
        <v>164</v>
      </c>
    </row>
    <row r="3" spans="2:16" x14ac:dyDescent="0.2">
      <c r="B3" s="10" t="s">
        <v>122</v>
      </c>
      <c r="C3" s="10">
        <v>500</v>
      </c>
      <c r="E3" s="10" t="s">
        <v>112</v>
      </c>
      <c r="F3" s="197">
        <v>800</v>
      </c>
      <c r="I3" s="198">
        <f>IF(ISNA(VLOOKUP('Intervenants et coûts-j'!$B$5&amp;Référentiel!J3,'Intervenants et coûts-j'!$A$16:$C$44,3,FALSE)),"",VLOOKUP('Intervenants et coûts-j'!$B$5&amp;Référentiel!J3,'Intervenants et coûts-j'!$A$16:$C$44,3,FALSE))</f>
        <v>0</v>
      </c>
      <c r="J3" s="10">
        <v>1</v>
      </c>
      <c r="M3" s="603">
        <f>IF(ISNA(VLOOKUP("Structure1",'Intervenants et coûts-j'!$A$5:$B$12,2,FALSE)),"-",VLOOKUP("Structure1",'Intervenants et coûts-j'!$A$5:$B$12,2,FALSE))</f>
        <v>0</v>
      </c>
      <c r="P3" s="10" t="str">
        <f>IF(ISNA(VLOOKUP("Presta1",'Intervenants et coûts-j'!$A$5:$B$12,2,FALSE)),"",VLOOKUP("Presta1",'Intervenants et coûts-j'!$A$5:$B$12,2,FALSE))</f>
        <v/>
      </c>
    </row>
    <row r="4" spans="2:16" x14ac:dyDescent="0.2">
      <c r="B4" s="10" t="s">
        <v>93</v>
      </c>
      <c r="C4" s="10">
        <v>350</v>
      </c>
      <c r="E4" s="10" t="s">
        <v>111</v>
      </c>
      <c r="F4" s="197">
        <v>800</v>
      </c>
      <c r="I4" s="198" t="str">
        <f>IF(ISNA(VLOOKUP('Intervenants et coûts-j'!$B$5&amp;Référentiel!J4,'Intervenants et coûts-j'!$A$16:$C$44,3,FALSE)),"",VLOOKUP('Intervenants et coûts-j'!$B$5&amp;Référentiel!J4,'Intervenants et coûts-j'!$A$16:$C$44,3,FALSE))</f>
        <v/>
      </c>
      <c r="J4" s="10">
        <v>2</v>
      </c>
      <c r="M4" s="603" t="str">
        <f>IF(ISNA(VLOOKUP("Structure2",'Intervenants et coûts-j'!$A$5:$B$12,2,FALSE)),"-",VLOOKUP("Structure2",'Intervenants et coûts-j'!$A$5:$B$12,2,FALSE))</f>
        <v>-</v>
      </c>
      <c r="P4" s="10" t="str">
        <f>IF(ISNA(VLOOKUP("Presta2",'Intervenants et coûts-j'!$A$5:$B$12,2,FALSE)),"",VLOOKUP("Presta2",'Intervenants et coûts-j'!$A$5:$B$12,2,FALSE))</f>
        <v/>
      </c>
    </row>
    <row r="5" spans="2:16" x14ac:dyDescent="0.2">
      <c r="B5" s="10" t="s">
        <v>94</v>
      </c>
      <c r="C5" s="10">
        <v>350</v>
      </c>
      <c r="E5" s="10" t="s">
        <v>90</v>
      </c>
      <c r="F5" s="197">
        <v>500</v>
      </c>
      <c r="I5" s="198" t="str">
        <f>IF(ISNA(VLOOKUP('Intervenants et coûts-j'!$B$5&amp;Référentiel!J5,'Intervenants et coûts-j'!$A$16:$C$44,3,FALSE)),"",VLOOKUP('Intervenants et coûts-j'!$B$5&amp;Référentiel!J5,'Intervenants et coûts-j'!$A$16:$C$44,3,FALSE))</f>
        <v/>
      </c>
      <c r="J5" s="10">
        <v>3</v>
      </c>
      <c r="M5" s="603" t="str">
        <f>IF(ISNA(VLOOKUP("Structure3",'Intervenants et coûts-j'!$A$5:$B$12,2,FALSE)),"-",VLOOKUP("Structure3",'Intervenants et coûts-j'!$A$5:$B$12,2,FALSE))</f>
        <v>-</v>
      </c>
      <c r="P5" s="10" t="str">
        <f>IF(ISNA(VLOOKUP("Presta3",'Intervenants et coûts-j'!$A$5:$B$12,2,FALSE)),"",VLOOKUP("Presta3",'Intervenants et coûts-j'!$A$5:$B$12,2,FALSE))</f>
        <v/>
      </c>
    </row>
    <row r="6" spans="2:16" x14ac:dyDescent="0.2">
      <c r="F6" s="197"/>
      <c r="I6" s="198" t="str">
        <f>IF(ISNA(VLOOKUP('Intervenants et coûts-j'!$B$5&amp;Référentiel!J6,'Intervenants et coûts-j'!$A$16:$C$44,3,FALSE)),"",VLOOKUP('Intervenants et coûts-j'!$B$5&amp;Référentiel!J6,'Intervenants et coûts-j'!$A$16:$C$44,3,FALSE))</f>
        <v/>
      </c>
      <c r="J6" s="10">
        <v>4</v>
      </c>
      <c r="M6" s="603" t="str">
        <f>IF(ISNA(VLOOKUP("Structure4",'Intervenants et coûts-j'!$A$5:$B$12,2,FALSE)),"-",VLOOKUP("Structure4",'Intervenants et coûts-j'!$A$5:$B$12,2,FALSE))</f>
        <v>-</v>
      </c>
      <c r="P6" s="10" t="str">
        <f>IF(ISNA(VLOOKUP("Presta4",'Intervenants et coûts-j'!$A$5:$B$12,2,FALSE)),"",VLOOKUP("Presta4",'Intervenants et coûts-j'!$A$5:$B$12,2,FALSE))</f>
        <v/>
      </c>
    </row>
    <row r="7" spans="2:16" x14ac:dyDescent="0.2">
      <c r="I7" s="198" t="str">
        <f>IF(ISNA(VLOOKUP('Intervenants et coûts-j'!$B$5&amp;Référentiel!J7,'Intervenants et coûts-j'!$A$16:$C$44,3,FALSE)),"",VLOOKUP('Intervenants et coûts-j'!$B$5&amp;Référentiel!J7,'Intervenants et coûts-j'!$A$16:$C$44,3,FALSE))</f>
        <v/>
      </c>
      <c r="J7" s="10">
        <v>5</v>
      </c>
      <c r="M7" s="603" t="str">
        <f>IF(ISNA(VLOOKUP("Structure5",'Intervenants et coûts-j'!$A$5:$B$12,2,FALSE)),"-",VLOOKUP("Structure5",'Intervenants et coûts-j'!$A$5:$B$12,2,FALSE))</f>
        <v>-</v>
      </c>
      <c r="P7" s="10" t="str">
        <f>IF(ISNA(VLOOKUP("Presta5",'Intervenants et coûts-j'!$A$5:$B$12,2,FALSE)),"",VLOOKUP("Presta5",'Intervenants et coûts-j'!$A$5:$B$12,2,FALSE))</f>
        <v/>
      </c>
    </row>
    <row r="8" spans="2:16" x14ac:dyDescent="0.2">
      <c r="I8" s="198" t="str">
        <f>IF(ISNA(VLOOKUP('Intervenants et coûts-j'!$B$5&amp;Référentiel!J8,'Intervenants et coûts-j'!$A$16:$C$44,3,FALSE)),"",VLOOKUP('Intervenants et coûts-j'!$B$5&amp;Référentiel!J8,'Intervenants et coûts-j'!$A$16:$C$44,3,FALSE))</f>
        <v/>
      </c>
      <c r="J8" s="10">
        <v>6</v>
      </c>
      <c r="M8" s="603" t="str">
        <f>IF(ISNA(VLOOKUP("Structure6",'Intervenants et coûts-j'!$A$5:$B$12,2,FALSE)),"-",VLOOKUP("Structure6",'Intervenants et coûts-j'!$A$5:$B$12,2,FALSE))</f>
        <v>-</v>
      </c>
      <c r="P8" s="10" t="str">
        <f>IF(ISNA(VLOOKUP("Presta6",'Intervenants et coûts-j'!$A$5:$B$12,2,FALSE)),"",VLOOKUP("Presta6",'Intervenants et coûts-j'!$A$5:$B$12,2,FALSE))</f>
        <v/>
      </c>
    </row>
    <row r="9" spans="2:16" x14ac:dyDescent="0.2">
      <c r="I9" s="198" t="str">
        <f>IF(ISNA(VLOOKUP('Intervenants et coûts-j'!$B$5&amp;Référentiel!J9,'Intervenants et coûts-j'!$A$16:$C$44,3,FALSE)),"",VLOOKUP('Intervenants et coûts-j'!$B$5&amp;Référentiel!J9,'Intervenants et coûts-j'!$A$16:$C$44,3,FALSE))</f>
        <v/>
      </c>
      <c r="J9" s="10">
        <v>7</v>
      </c>
      <c r="M9" s="603" t="str">
        <f>IF(ISNA(VLOOKUP("Structure7",'Intervenants et coûts-j'!$A$5:$B$12,2,FALSE)),"-",VLOOKUP("Structure7",'Intervenants et coûts-j'!$A$5:$B$12,2,FALSE))</f>
        <v>-</v>
      </c>
      <c r="P9" s="10" t="str">
        <f>IF(ISNA(VLOOKUP("Presta7",'Intervenants et coûts-j'!$A$5:$B$12,2,FALSE)),"",VLOOKUP("Presta7",'Intervenants et coûts-j'!$A$5:$B$12,2,FALSE))</f>
        <v/>
      </c>
    </row>
    <row r="10" spans="2:16" x14ac:dyDescent="0.2">
      <c r="I10" s="198" t="str">
        <f>IF(ISNA(VLOOKUP('Intervenants et coûts-j'!$B$5&amp;Référentiel!J10,'Intervenants et coûts-j'!$A$16:$C$44,3,FALSE)),"",VLOOKUP('Intervenants et coûts-j'!$B$5&amp;Référentiel!J10,'Intervenants et coûts-j'!$A$16:$C$44,3,FALSE))</f>
        <v/>
      </c>
      <c r="J10" s="10">
        <v>8</v>
      </c>
      <c r="M10" s="603" t="str">
        <f>IF(ISNA(VLOOKUP("Structure8",'Intervenants et coûts-j'!$A$5:$B$12,2,FALSE)),"-",VLOOKUP("Structure8",'Intervenants et coûts-j'!$A$5:$B$12,2,FALSE))</f>
        <v>-</v>
      </c>
      <c r="P10" s="10" t="str">
        <f>IF(ISNA(VLOOKUP("Presta8",'Intervenants et coûts-j'!$A$5:$B$12,2,FALSE)),"",VLOOKUP("Presta8",'Intervenants et coûts-j'!$A$5:$B$12,2,FALSE))</f>
        <v/>
      </c>
    </row>
    <row r="11" spans="2:16" x14ac:dyDescent="0.2">
      <c r="I11" s="198" t="str">
        <f>IF(ISNA(VLOOKUP('Intervenants et coûts-j'!$B$5&amp;Référentiel!J11,'Intervenants et coûts-j'!$A$16:$C$44,3,FALSE)),"",VLOOKUP('Intervenants et coûts-j'!$B$5&amp;Référentiel!J11,'Intervenants et coûts-j'!$A$16:$C$44,3,FALSE))</f>
        <v/>
      </c>
      <c r="J11" s="10">
        <v>9</v>
      </c>
    </row>
    <row r="12" spans="2:16" x14ac:dyDescent="0.2">
      <c r="I12" s="198" t="str">
        <f>IF(ISNA(VLOOKUP('Intervenants et coûts-j'!$B$5&amp;Référentiel!J12,'Intervenants et coûts-j'!$A$16:$C$44,3,FALSE)),"",VLOOKUP('Intervenants et coûts-j'!$B$5&amp;Référentiel!J12,'Intervenants et coûts-j'!$A$16:$C$44,3,FALSE))</f>
        <v/>
      </c>
      <c r="J12" s="10">
        <v>10</v>
      </c>
    </row>
    <row r="13" spans="2:16" x14ac:dyDescent="0.2">
      <c r="B13" s="196" t="s">
        <v>131</v>
      </c>
      <c r="I13" s="198"/>
    </row>
    <row r="14" spans="2:16" x14ac:dyDescent="0.2">
      <c r="B14" s="10" t="s">
        <v>123</v>
      </c>
    </row>
    <row r="15" spans="2:16" x14ac:dyDescent="0.2">
      <c r="B15" s="10" t="s">
        <v>124</v>
      </c>
      <c r="I15" s="196" t="s">
        <v>115</v>
      </c>
      <c r="J15" s="196" t="s">
        <v>97</v>
      </c>
    </row>
    <row r="16" spans="2:16" x14ac:dyDescent="0.2">
      <c r="B16" s="10" t="s">
        <v>125</v>
      </c>
      <c r="I16" s="10">
        <f>IF(ISNA(VLOOKUP('Intervenants et coûts-j'!$B$6&amp;Référentiel!J3,'Intervenants et coûts-j'!$A$16:$C$44,3,FALSE)),"",VLOOKUP('Intervenants et coûts-j'!$B$6&amp;Référentiel!J3,'Intervenants et coûts-j'!$A$16:$C$44,3,FALSE))</f>
        <v>0</v>
      </c>
      <c r="J16" s="10">
        <v>1</v>
      </c>
    </row>
    <row r="17" spans="2:10" x14ac:dyDescent="0.2">
      <c r="B17" s="10" t="s">
        <v>126</v>
      </c>
      <c r="I17" s="10" t="str">
        <f>IF(ISNA(VLOOKUP('Intervenants et coûts-j'!$B$6&amp;Référentiel!J4,'Intervenants et coûts-j'!$A$16:$C$44,3,FALSE)),"",VLOOKUP('Intervenants et coûts-j'!$B$6&amp;Référentiel!J4,'Intervenants et coûts-j'!$A$16:$C$44,3,FALSE))</f>
        <v/>
      </c>
      <c r="J17" s="10">
        <v>2</v>
      </c>
    </row>
    <row r="18" spans="2:10" x14ac:dyDescent="0.2">
      <c r="I18" s="10" t="str">
        <f>IF(ISNA(VLOOKUP('Intervenants et coûts-j'!$B$6&amp;Référentiel!J5,'Intervenants et coûts-j'!$A$16:$C$44,3,FALSE)),"",VLOOKUP('Intervenants et coûts-j'!$B$6&amp;Référentiel!J5,'Intervenants et coûts-j'!$A$16:$C$44,3,FALSE))</f>
        <v/>
      </c>
      <c r="J18" s="10">
        <v>3</v>
      </c>
    </row>
    <row r="19" spans="2:10" x14ac:dyDescent="0.2">
      <c r="I19" s="10" t="str">
        <f>IF(ISNA(VLOOKUP('Intervenants et coûts-j'!$B$6&amp;Référentiel!J6,'Intervenants et coûts-j'!$A$16:$C$44,3,FALSE)),"",VLOOKUP('Intervenants et coûts-j'!$B$6&amp;Référentiel!J6,'Intervenants et coûts-j'!$A$16:$C$44,3,FALSE))</f>
        <v/>
      </c>
      <c r="J19" s="10">
        <v>4</v>
      </c>
    </row>
    <row r="20" spans="2:10" x14ac:dyDescent="0.2">
      <c r="B20" s="196" t="s">
        <v>133</v>
      </c>
      <c r="I20" s="10" t="str">
        <f>IF(ISNA(VLOOKUP('Intervenants et coûts-j'!$B$6&amp;Référentiel!J7,'Intervenants et coûts-j'!$A$16:$C$44,3,FALSE)),"",VLOOKUP('Intervenants et coûts-j'!$B$6&amp;Référentiel!J7,'Intervenants et coûts-j'!$A$16:$C$44,3,FALSE))</f>
        <v/>
      </c>
      <c r="J20" s="10">
        <v>5</v>
      </c>
    </row>
    <row r="21" spans="2:10" x14ac:dyDescent="0.2">
      <c r="B21" s="10" t="s">
        <v>138</v>
      </c>
      <c r="I21" s="10" t="str">
        <f>IF(ISNA(VLOOKUP('Intervenants et coûts-j'!$B$6&amp;Référentiel!J8,'Intervenants et coûts-j'!$A$16:$C$44,3,FALSE)),"",VLOOKUP('Intervenants et coûts-j'!$B$6&amp;Référentiel!J8,'Intervenants et coûts-j'!$A$16:$C$44,3,FALSE))</f>
        <v/>
      </c>
      <c r="J21" s="10">
        <v>6</v>
      </c>
    </row>
    <row r="22" spans="2:10" x14ac:dyDescent="0.2">
      <c r="B22" s="10" t="s">
        <v>139</v>
      </c>
      <c r="I22" s="10" t="str">
        <f>IF(ISNA(VLOOKUP('Intervenants et coûts-j'!$B$6&amp;Référentiel!J9,'Intervenants et coûts-j'!$A$16:$C$44,3,FALSE)),"",VLOOKUP('Intervenants et coûts-j'!$B$6&amp;Référentiel!J9,'Intervenants et coûts-j'!$A$16:$C$44,3,FALSE))</f>
        <v/>
      </c>
      <c r="J22" s="10">
        <v>7</v>
      </c>
    </row>
    <row r="23" spans="2:10" x14ac:dyDescent="0.2">
      <c r="B23" s="10" t="s">
        <v>140</v>
      </c>
      <c r="I23" s="10" t="str">
        <f>IF(ISNA(VLOOKUP('Intervenants et coûts-j'!$B$6&amp;Référentiel!J10,'Intervenants et coûts-j'!$A$16:$C$44,3,FALSE)),"",VLOOKUP('Intervenants et coûts-j'!$B$6&amp;Référentiel!J10,'Intervenants et coûts-j'!$A$16:$C$44,3,FALSE))</f>
        <v/>
      </c>
      <c r="J23" s="10">
        <v>8</v>
      </c>
    </row>
    <row r="24" spans="2:10" x14ac:dyDescent="0.2">
      <c r="B24" s="10" t="s">
        <v>141</v>
      </c>
      <c r="I24" s="10" t="str">
        <f>IF(ISNA(VLOOKUP('Intervenants et coûts-j'!$B$6&amp;Référentiel!J11,'Intervenants et coûts-j'!$A$16:$C$44,3,FALSE)),"",VLOOKUP('Intervenants et coûts-j'!$B$6&amp;Référentiel!J11,'Intervenants et coûts-j'!$A$16:$C$44,3,FALSE))</f>
        <v/>
      </c>
      <c r="J24" s="10">
        <v>9</v>
      </c>
    </row>
    <row r="25" spans="2:10" x14ac:dyDescent="0.2">
      <c r="B25" s="10" t="s">
        <v>142</v>
      </c>
      <c r="I25" s="10" t="str">
        <f>IF(ISNA(VLOOKUP('Intervenants et coûts-j'!$B$6&amp;Référentiel!J12,'Intervenants et coûts-j'!$A$16:$C$44,3,FALSE)),"",VLOOKUP('Intervenants et coûts-j'!$B$6&amp;Référentiel!J12,'Intervenants et coûts-j'!$A$16:$C$44,3,FALSE))</f>
        <v/>
      </c>
      <c r="J25" s="10">
        <v>10</v>
      </c>
    </row>
    <row r="26" spans="2:10" x14ac:dyDescent="0.2">
      <c r="B26" s="10" t="s">
        <v>127</v>
      </c>
    </row>
    <row r="27" spans="2:10" x14ac:dyDescent="0.2">
      <c r="B27" s="10" t="s">
        <v>128</v>
      </c>
      <c r="I27" s="196" t="s">
        <v>116</v>
      </c>
      <c r="J27" s="196" t="s">
        <v>97</v>
      </c>
    </row>
    <row r="28" spans="2:10" x14ac:dyDescent="0.2">
      <c r="B28" s="10" t="s">
        <v>129</v>
      </c>
      <c r="I28" s="10">
        <f>IF(ISNA(VLOOKUP('Intervenants et coûts-j'!$B$7&amp;Référentiel!J3,'Intervenants et coûts-j'!$A$16:$C$44,3,FALSE)),"",VLOOKUP('Intervenants et coûts-j'!$B$7&amp;Référentiel!J3,'Intervenants et coûts-j'!$A$16:$C$44,3,FALSE))</f>
        <v>0</v>
      </c>
      <c r="J28" s="10">
        <v>1</v>
      </c>
    </row>
    <row r="29" spans="2:10" x14ac:dyDescent="0.2">
      <c r="B29" s="10" t="s">
        <v>130</v>
      </c>
      <c r="I29" s="10" t="str">
        <f>IF(ISNA(VLOOKUP('Intervenants et coûts-j'!$B$7&amp;Référentiel!J4,'Intervenants et coûts-j'!$A$16:$C$44,3,FALSE)),"",VLOOKUP('Intervenants et coûts-j'!$B$7&amp;Référentiel!J4,'Intervenants et coûts-j'!$A$16:$C$44,3,FALSE))</f>
        <v/>
      </c>
      <c r="J29" s="10">
        <v>2</v>
      </c>
    </row>
    <row r="30" spans="2:10" x14ac:dyDescent="0.2">
      <c r="B30" s="10" t="s">
        <v>213</v>
      </c>
      <c r="I30" s="10" t="str">
        <f>IF(ISNA(VLOOKUP('Intervenants et coûts-j'!$B$7&amp;Référentiel!J5,'Intervenants et coûts-j'!$A$16:$C$44,3,FALSE)),"",VLOOKUP('Intervenants et coûts-j'!$B$7&amp;Référentiel!J5,'Intervenants et coûts-j'!$A$16:$C$44,3,FALSE))</f>
        <v/>
      </c>
      <c r="J30" s="10">
        <v>3</v>
      </c>
    </row>
    <row r="31" spans="2:10" x14ac:dyDescent="0.2">
      <c r="I31" s="10" t="str">
        <f>IF(ISNA(VLOOKUP('Intervenants et coûts-j'!$B$7&amp;Référentiel!J6,'Intervenants et coûts-j'!$A$16:$C$44,3,FALSE)),"",VLOOKUP('Intervenants et coûts-j'!$B$7&amp;Référentiel!J6,'Intervenants et coûts-j'!$A$16:$C$44,3,FALSE))</f>
        <v/>
      </c>
      <c r="J31" s="10">
        <v>4</v>
      </c>
    </row>
    <row r="32" spans="2:10" x14ac:dyDescent="0.2">
      <c r="I32" s="10" t="str">
        <f>IF(ISNA(VLOOKUP('Intervenants et coûts-j'!$B$7&amp;Référentiel!J7,'Intervenants et coûts-j'!$A$16:$C$44,3,FALSE)),"",VLOOKUP('Intervenants et coûts-j'!$B$7&amp;Référentiel!J7,'Intervenants et coûts-j'!$A$16:$C$44,3,FALSE))</f>
        <v/>
      </c>
      <c r="J32" s="10">
        <v>5</v>
      </c>
    </row>
    <row r="33" spans="2:10" x14ac:dyDescent="0.2">
      <c r="I33" s="10" t="str">
        <f>IF(ISNA(VLOOKUP('Intervenants et coûts-j'!$B$7&amp;Référentiel!J8,'Intervenants et coûts-j'!$A$16:$C$44,3,FALSE)),"",VLOOKUP('Intervenants et coûts-j'!$B$7&amp;Référentiel!J8,'Intervenants et coûts-j'!$A$16:$C$44,3,FALSE))</f>
        <v/>
      </c>
      <c r="J33" s="10">
        <v>6</v>
      </c>
    </row>
    <row r="34" spans="2:10" x14ac:dyDescent="0.2">
      <c r="B34" s="196" t="s">
        <v>132</v>
      </c>
      <c r="I34" s="10" t="str">
        <f>IF(ISNA(VLOOKUP('Intervenants et coûts-j'!$B$7&amp;Référentiel!J9,'Intervenants et coûts-j'!$A$16:$C$44,3,FALSE)),"",VLOOKUP('Intervenants et coûts-j'!$B$7&amp;Référentiel!J9,'Intervenants et coûts-j'!$A$16:$C$44,3,FALSE))</f>
        <v/>
      </c>
      <c r="J34" s="10">
        <v>7</v>
      </c>
    </row>
    <row r="35" spans="2:10" x14ac:dyDescent="0.2">
      <c r="B35" s="10" t="s">
        <v>135</v>
      </c>
      <c r="I35" s="10" t="str">
        <f>IF(ISNA(VLOOKUP('Intervenants et coûts-j'!$B$7&amp;Référentiel!J10,'Intervenants et coûts-j'!$A$16:$C$44,3,FALSE)),"",VLOOKUP('Intervenants et coûts-j'!$B$7&amp;Référentiel!J10,'Intervenants et coûts-j'!$A$16:$C$44,3,FALSE))</f>
        <v/>
      </c>
      <c r="J35" s="10">
        <v>8</v>
      </c>
    </row>
    <row r="36" spans="2:10" x14ac:dyDescent="0.2">
      <c r="B36" s="10" t="s">
        <v>136</v>
      </c>
      <c r="I36" s="10" t="str">
        <f>IF(ISNA(VLOOKUP('Intervenants et coûts-j'!$B$7&amp;Référentiel!J11,'Intervenants et coûts-j'!$A$16:$C$44,3,FALSE)),"",VLOOKUP('Intervenants et coûts-j'!$B$7&amp;Référentiel!J11,'Intervenants et coûts-j'!$A$16:$C$44,3,FALSE))</f>
        <v/>
      </c>
      <c r="J36" s="10">
        <v>9</v>
      </c>
    </row>
    <row r="37" spans="2:10" x14ac:dyDescent="0.2">
      <c r="B37" s="10" t="s">
        <v>137</v>
      </c>
      <c r="I37" s="10" t="str">
        <f>IF(ISNA(VLOOKUP('Intervenants et coûts-j'!$B$7&amp;Référentiel!J12,'Intervenants et coûts-j'!$A$16:$C$44,3,FALSE)),"",VLOOKUP('Intervenants et coûts-j'!$B$7&amp;Référentiel!J12,'Intervenants et coûts-j'!$A$16:$C$44,3,FALSE))</f>
        <v/>
      </c>
      <c r="J37" s="10">
        <v>10</v>
      </c>
    </row>
    <row r="39" spans="2:10" x14ac:dyDescent="0.2">
      <c r="I39" s="196" t="s">
        <v>117</v>
      </c>
      <c r="J39" s="196" t="s">
        <v>97</v>
      </c>
    </row>
    <row r="40" spans="2:10" x14ac:dyDescent="0.2">
      <c r="I40" s="10">
        <f>IF(ISNA(VLOOKUP('Intervenants et coûts-j'!$B$8&amp;Référentiel!J3,'Intervenants et coûts-j'!$A$16:$C$44,3,FALSE)),"",VLOOKUP('Intervenants et coûts-j'!$B$8&amp;Référentiel!J3,'Intervenants et coûts-j'!$A$16:$C$44,3,FALSE))</f>
        <v>0</v>
      </c>
      <c r="J40" s="10">
        <v>1</v>
      </c>
    </row>
    <row r="41" spans="2:10" x14ac:dyDescent="0.2">
      <c r="I41" s="10" t="str">
        <f>IF(ISNA(VLOOKUP('Intervenants et coûts-j'!$B$8&amp;Référentiel!J4,'Intervenants et coûts-j'!$A$16:$C$44,3,FALSE)),"",VLOOKUP('Intervenants et coûts-j'!$B$8&amp;Référentiel!J4,'Intervenants et coûts-j'!$A$16:$C$44,3,FALSE))</f>
        <v/>
      </c>
      <c r="J41" s="10">
        <v>2</v>
      </c>
    </row>
    <row r="42" spans="2:10" x14ac:dyDescent="0.2">
      <c r="I42" s="10" t="str">
        <f>IF(ISNA(VLOOKUP('Intervenants et coûts-j'!$B$8&amp;Référentiel!J5,'Intervenants et coûts-j'!$A$16:$C$44,3,FALSE)),"",VLOOKUP('Intervenants et coûts-j'!$B$8&amp;Référentiel!J5,'Intervenants et coûts-j'!$A$16:$C$44,3,FALSE))</f>
        <v/>
      </c>
      <c r="J42" s="10">
        <v>3</v>
      </c>
    </row>
    <row r="43" spans="2:10" x14ac:dyDescent="0.2">
      <c r="I43" s="10" t="str">
        <f>IF(ISNA(VLOOKUP('Intervenants et coûts-j'!$B$8&amp;Référentiel!J6,'Intervenants et coûts-j'!$A$16:$C$44,3,FALSE)),"",VLOOKUP('Intervenants et coûts-j'!$B$8&amp;Référentiel!J6,'Intervenants et coûts-j'!$A$16:$C$44,3,FALSE))</f>
        <v/>
      </c>
      <c r="J43" s="10">
        <v>4</v>
      </c>
    </row>
    <row r="44" spans="2:10" x14ac:dyDescent="0.2">
      <c r="I44" s="10" t="str">
        <f>IF(ISNA(VLOOKUP('Intervenants et coûts-j'!$B$8&amp;Référentiel!J7,'Intervenants et coûts-j'!$A$16:$C$44,3,FALSE)),"",VLOOKUP('Intervenants et coûts-j'!$B$8&amp;Référentiel!J7,'Intervenants et coûts-j'!$A$16:$C$44,3,FALSE))</f>
        <v/>
      </c>
      <c r="J44" s="10">
        <v>5</v>
      </c>
    </row>
    <row r="46" spans="2:10" x14ac:dyDescent="0.2">
      <c r="I46" s="196" t="s">
        <v>118</v>
      </c>
      <c r="J46" s="196" t="s">
        <v>97</v>
      </c>
    </row>
    <row r="47" spans="2:10" x14ac:dyDescent="0.2">
      <c r="I47" s="10">
        <f>IF(ISNA(VLOOKUP('Intervenants et coûts-j'!$B$9&amp;Référentiel!J3,'Intervenants et coûts-j'!$A$16:$C$44,3,FALSE)),"",VLOOKUP('Intervenants et coûts-j'!$B$9&amp;Référentiel!J3,'Intervenants et coûts-j'!$A$16:$C$44,3,FALSE))</f>
        <v>0</v>
      </c>
      <c r="J47" s="10">
        <v>1</v>
      </c>
    </row>
    <row r="48" spans="2:10" x14ac:dyDescent="0.2">
      <c r="I48" s="10" t="str">
        <f>IF(ISNA(VLOOKUP('Intervenants et coûts-j'!$B$9&amp;Référentiel!J4,'Intervenants et coûts-j'!$A$16:$C$44,3,FALSE)),"",VLOOKUP('Intervenants et coûts-j'!$B$9&amp;Référentiel!J4,'Intervenants et coûts-j'!$A$16:$C$44,3,FALSE))</f>
        <v/>
      </c>
      <c r="J48" s="10">
        <v>2</v>
      </c>
    </row>
    <row r="49" spans="9:10" x14ac:dyDescent="0.2">
      <c r="I49" s="10" t="str">
        <f>IF(ISNA(VLOOKUP('Intervenants et coûts-j'!$B$9&amp;Référentiel!J5,'Intervenants et coûts-j'!$A$16:$C$44,3,FALSE)),"",VLOOKUP('Intervenants et coûts-j'!$B$9&amp;Référentiel!J5,'Intervenants et coûts-j'!$A$16:$C$44,3,FALSE))</f>
        <v/>
      </c>
      <c r="J49" s="10">
        <v>3</v>
      </c>
    </row>
    <row r="50" spans="9:10" x14ac:dyDescent="0.2">
      <c r="I50" s="10" t="str">
        <f>IF(ISNA(VLOOKUP('Intervenants et coûts-j'!$B$9&amp;Référentiel!J6,'Intervenants et coûts-j'!$A$16:$C$44,3,FALSE)),"",VLOOKUP('Intervenants et coûts-j'!$B$9&amp;Référentiel!J6,'Intervenants et coûts-j'!$A$16:$C$44,3,FALSE))</f>
        <v/>
      </c>
      <c r="J50" s="10">
        <v>4</v>
      </c>
    </row>
    <row r="51" spans="9:10" x14ac:dyDescent="0.2">
      <c r="I51" s="10" t="str">
        <f>IF(ISNA(VLOOKUP('Intervenants et coûts-j'!$B$9&amp;Référentiel!J7,'Intervenants et coûts-j'!$A$16:$C$44,3,FALSE)),"",VLOOKUP('Intervenants et coûts-j'!$B$9&amp;Référentiel!J7,'Intervenants et coûts-j'!$A$16:$C$44,3,FALSE))</f>
        <v/>
      </c>
      <c r="J51" s="10">
        <v>5</v>
      </c>
    </row>
    <row r="53" spans="9:10" x14ac:dyDescent="0.2">
      <c r="I53" s="196" t="s">
        <v>119</v>
      </c>
      <c r="J53" s="196" t="s">
        <v>97</v>
      </c>
    </row>
    <row r="54" spans="9:10" x14ac:dyDescent="0.2">
      <c r="I54" s="10">
        <f>IF(ISNA(VLOOKUP('Intervenants et coûts-j'!$B$10&amp;Référentiel!J3,'Intervenants et coûts-j'!$A$16:$C$44,3,FALSE)),"",VLOOKUP('Intervenants et coûts-j'!$B$10&amp;Référentiel!J3,'Intervenants et coûts-j'!$A$16:$C$44,3,FALSE))</f>
        <v>0</v>
      </c>
      <c r="J54" s="10">
        <v>1</v>
      </c>
    </row>
    <row r="55" spans="9:10" x14ac:dyDescent="0.2">
      <c r="I55" s="10" t="str">
        <f>IF(ISNA(VLOOKUP('Intervenants et coûts-j'!$B$10&amp;Référentiel!J4,'Intervenants et coûts-j'!$A$16:$C$44,3,FALSE)),"",VLOOKUP('Intervenants et coûts-j'!$B$10&amp;Référentiel!J4,'Intervenants et coûts-j'!$A$16:$C$44,3,FALSE))</f>
        <v/>
      </c>
      <c r="J55" s="10">
        <v>2</v>
      </c>
    </row>
    <row r="56" spans="9:10" x14ac:dyDescent="0.2">
      <c r="I56" s="10" t="str">
        <f>IF(ISNA(VLOOKUP('Intervenants et coûts-j'!$B$10&amp;Référentiel!J5,'Intervenants et coûts-j'!$A$16:$C$44,3,FALSE)),"",VLOOKUP('Intervenants et coûts-j'!$B$10&amp;Référentiel!J5,'Intervenants et coûts-j'!$A$16:$C$44,3,FALSE))</f>
        <v/>
      </c>
      <c r="J56" s="10">
        <v>3</v>
      </c>
    </row>
    <row r="57" spans="9:10" x14ac:dyDescent="0.2">
      <c r="I57" s="10" t="str">
        <f>IF(ISNA(VLOOKUP('Intervenants et coûts-j'!$B$10&amp;Référentiel!J6,'Intervenants et coûts-j'!$A$16:$C$44,3,FALSE)),"",VLOOKUP('Intervenants et coûts-j'!$B$10&amp;Référentiel!J6,'Intervenants et coûts-j'!$A$16:$C$44,3,FALSE))</f>
        <v/>
      </c>
      <c r="J57" s="10">
        <v>4</v>
      </c>
    </row>
    <row r="58" spans="9:10" x14ac:dyDescent="0.2">
      <c r="I58" s="10" t="str">
        <f>IF(ISNA(VLOOKUP('Intervenants et coûts-j'!$B$10&amp;Référentiel!J7,'Intervenants et coûts-j'!$A$16:$C$44,3,FALSE)),"",VLOOKUP('Intervenants et coûts-j'!$B$10&amp;Référentiel!J7,'Intervenants et coûts-j'!$A$16:$C$44,3,FALSE))</f>
        <v/>
      </c>
      <c r="J58" s="10">
        <v>5</v>
      </c>
    </row>
    <row r="60" spans="9:10" x14ac:dyDescent="0.2">
      <c r="I60" s="196" t="s">
        <v>120</v>
      </c>
      <c r="J60" s="196" t="s">
        <v>97</v>
      </c>
    </row>
    <row r="61" spans="9:10" x14ac:dyDescent="0.2">
      <c r="I61" s="10">
        <f>IF(ISNA(VLOOKUP('Intervenants et coûts-j'!$B$11&amp;Référentiel!J3,'Intervenants et coûts-j'!$A$16:$C$44,3,FALSE)),"",VLOOKUP('Intervenants et coûts-j'!$B$11&amp;Référentiel!J3,'Intervenants et coûts-j'!$A$16:$C$44,3,FALSE))</f>
        <v>0</v>
      </c>
      <c r="J61" s="10">
        <v>1</v>
      </c>
    </row>
    <row r="62" spans="9:10" x14ac:dyDescent="0.2">
      <c r="I62" s="10" t="str">
        <f>IF(ISNA(VLOOKUP('Intervenants et coûts-j'!$B$11&amp;Référentiel!J4,'Intervenants et coûts-j'!$A$16:$C$44,3,FALSE)),"",VLOOKUP('Intervenants et coûts-j'!$B$11&amp;Référentiel!J4,'Intervenants et coûts-j'!$A$16:$C$44,3,FALSE))</f>
        <v/>
      </c>
      <c r="J62" s="10">
        <v>2</v>
      </c>
    </row>
    <row r="63" spans="9:10" x14ac:dyDescent="0.2">
      <c r="I63" s="10" t="str">
        <f>IF(ISNA(VLOOKUP('Intervenants et coûts-j'!$B$11&amp;Référentiel!J5,'Intervenants et coûts-j'!$A$16:$C$44,3,FALSE)),"",VLOOKUP('Intervenants et coûts-j'!$B$11&amp;Référentiel!J5,'Intervenants et coûts-j'!$A$16:$C$44,3,FALSE))</f>
        <v/>
      </c>
      <c r="J63" s="10">
        <v>3</v>
      </c>
    </row>
    <row r="64" spans="9:10" x14ac:dyDescent="0.2">
      <c r="I64" s="10" t="str">
        <f>IF(ISNA(VLOOKUP('Intervenants et coûts-j'!$B$11&amp;Référentiel!J6,'Intervenants et coûts-j'!$A$16:$C$44,3,FALSE)),"",VLOOKUP('Intervenants et coûts-j'!$B$11&amp;Référentiel!J6,'Intervenants et coûts-j'!$A$16:$C$44,3,FALSE))</f>
        <v/>
      </c>
      <c r="J64" s="10">
        <v>4</v>
      </c>
    </row>
    <row r="65" spans="9:10" x14ac:dyDescent="0.2">
      <c r="I65" s="10" t="str">
        <f>IF(ISNA(VLOOKUP('Intervenants et coûts-j'!$B$11&amp;Référentiel!J7,'Intervenants et coûts-j'!$A$16:$C$44,3,FALSE)),"",VLOOKUP('Intervenants et coûts-j'!$B$11&amp;Référentiel!J7,'Intervenants et coûts-j'!$A$16:$C$44,3,FALSE))</f>
        <v/>
      </c>
      <c r="J65" s="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26</vt:i4>
      </vt:variant>
    </vt:vector>
  </HeadingPairs>
  <TitlesOfParts>
    <vt:vector size="38" baseType="lpstr">
      <vt:lpstr>Identification</vt:lpstr>
      <vt:lpstr>Pièces justificatives</vt:lpstr>
      <vt:lpstr>Eligibilité</vt:lpstr>
      <vt:lpstr>Intervenants et coûts-j</vt:lpstr>
      <vt:lpstr>Dépenses volet 1-Elaboration</vt:lpstr>
      <vt:lpstr>Dép.volet 2-Animation-2024-2025</vt:lpstr>
      <vt:lpstr>Dép. volet 3-Diag-2024-2025</vt:lpstr>
      <vt:lpstr>Dép.volet 4-Form-2023-2024-2025</vt:lpstr>
      <vt:lpstr>Synthèse montants présentés</vt:lpstr>
      <vt:lpstr>Réalisation 2023</vt:lpstr>
      <vt:lpstr>Demande d'aide</vt:lpstr>
      <vt:lpstr>Référentiel</vt:lpstr>
      <vt:lpstr>ListeIntervenants1</vt:lpstr>
      <vt:lpstr>ListeIntervenants2</vt:lpstr>
      <vt:lpstr>ListeIntervenants3</vt:lpstr>
      <vt:lpstr>ListeIntervenants4</vt:lpstr>
      <vt:lpstr>ListeIntervenants5</vt:lpstr>
      <vt:lpstr>ListeIntervenants6</vt:lpstr>
      <vt:lpstr>ListeIntervenants7</vt:lpstr>
      <vt:lpstr>Prestataire_1</vt:lpstr>
      <vt:lpstr>Ref_actions_animation</vt:lpstr>
      <vt:lpstr>Ref_actions_diag</vt:lpstr>
      <vt:lpstr>Ref_actions_elaboration</vt:lpstr>
      <vt:lpstr>Ref_cat_personnel</vt:lpstr>
      <vt:lpstr>Ref_categories_diag</vt:lpstr>
      <vt:lpstr>RefPresta</vt:lpstr>
      <vt:lpstr>RefStructures</vt:lpstr>
      <vt:lpstr>'Demande d''aide'!Zone_d_impression</vt:lpstr>
      <vt:lpstr>'Dép. volet 3-Diag-2024-2025'!Zone_d_impression</vt:lpstr>
      <vt:lpstr>'Dép.volet 2-Animation-2024-2025'!Zone_d_impression</vt:lpstr>
      <vt:lpstr>'Dép.volet 4-Form-2023-2024-2025'!Zone_d_impression</vt:lpstr>
      <vt:lpstr>'Dépenses volet 1-Elaboration'!Zone_d_impression</vt:lpstr>
      <vt:lpstr>Eligibilité!Zone_d_impression</vt:lpstr>
      <vt:lpstr>Identification!Zone_d_impression</vt:lpstr>
      <vt:lpstr>'Intervenants et coûts-j'!Zone_d_impression</vt:lpstr>
      <vt:lpstr>'Pièces justificatives'!Zone_d_impression</vt:lpstr>
      <vt:lpstr>'Réalisation 2023'!Zone_d_impression</vt:lpstr>
      <vt:lpstr>'Synthèse montants présentés'!Zone_d_impression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Artige</dc:creator>
  <cp:lastModifiedBy>Nicolas Artige</cp:lastModifiedBy>
  <cp:lastPrinted>2023-07-17T09:05:07Z</cp:lastPrinted>
  <dcterms:created xsi:type="dcterms:W3CDTF">2022-08-23T09:22:03Z</dcterms:created>
  <dcterms:modified xsi:type="dcterms:W3CDTF">2023-09-18T13:56:28Z</dcterms:modified>
</cp:coreProperties>
</file>